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22ded034b04ddb/Desktop/"/>
    </mc:Choice>
  </mc:AlternateContent>
  <xr:revisionPtr revIDLastSave="0" documentId="8_{11877CA4-03A8-4AEC-BAE5-91FC69BF2F23}" xr6:coauthVersionLast="36" xr6:coauthVersionMax="36" xr10:uidLastSave="{00000000-0000-0000-0000-000000000000}"/>
  <bookViews>
    <workbookView xWindow="240" yWindow="70" windowWidth="20050" windowHeight="7930" tabRatio="161" xr2:uid="{00000000-000D-0000-FFFF-FFFF00000000}"/>
  </bookViews>
  <sheets>
    <sheet name="KHU CONG CONG" sheetId="1" r:id="rId1"/>
    <sheet name="Sheet1" sheetId="2" r:id="rId2"/>
  </sheets>
  <definedNames>
    <definedName name="_xlnm._FilterDatabase" localSheetId="0" hidden="1">'KHU CONG CONG'!$A$8:$Y$61</definedName>
    <definedName name="_xlnm._FilterDatabase" localSheetId="1" hidden="1">Sheet1!$A$7:$Y$31</definedName>
    <definedName name="_xlnm.Print_Area" localSheetId="0">'KHU CONG CONG'!$A$1:$S$70</definedName>
    <definedName name="_xlnm.Print_Titles" localSheetId="0">'KHU CONG CONG'!$6:$8</definedName>
  </definedNames>
  <calcPr calcId="179021"/>
</workbook>
</file>

<file path=xl/calcChain.xml><?xml version="1.0" encoding="utf-8"?>
<calcChain xmlns="http://schemas.openxmlformats.org/spreadsheetml/2006/main">
  <c r="D9" i="2" l="1"/>
  <c r="J9" i="2" s="1"/>
  <c r="K9" i="2" s="1"/>
  <c r="D10" i="2"/>
  <c r="D11" i="2"/>
  <c r="D12" i="2"/>
  <c r="J12" i="2" s="1"/>
  <c r="K12" i="2" s="1"/>
  <c r="D13" i="2"/>
  <c r="J13" i="2" s="1"/>
  <c r="K13" i="2" s="1"/>
  <c r="D14" i="2"/>
  <c r="D15" i="2"/>
  <c r="D16" i="2"/>
  <c r="D17" i="2"/>
  <c r="J17" i="2" s="1"/>
  <c r="K17" i="2" s="1"/>
  <c r="D18" i="2"/>
  <c r="D19" i="2"/>
  <c r="D20" i="2"/>
  <c r="D21" i="2"/>
  <c r="J21" i="2" s="1"/>
  <c r="K21" i="2" s="1"/>
  <c r="D22" i="2"/>
  <c r="J22" i="2" s="1"/>
  <c r="K22" i="2" s="1"/>
  <c r="D23" i="2"/>
  <c r="J23" i="2" s="1"/>
  <c r="K23" i="2" s="1"/>
  <c r="D24" i="2"/>
  <c r="D25" i="2"/>
  <c r="J25" i="2" s="1"/>
  <c r="K25" i="2" s="1"/>
  <c r="D26" i="2"/>
  <c r="J26" i="2" s="1"/>
  <c r="K26" i="2" s="1"/>
  <c r="D27" i="2"/>
  <c r="D28" i="2"/>
  <c r="J28" i="2" s="1"/>
  <c r="K28" i="2" s="1"/>
  <c r="D29" i="2"/>
  <c r="J29" i="2" s="1"/>
  <c r="K29" i="2" s="1"/>
  <c r="D30" i="2"/>
  <c r="J30" i="2" s="1"/>
  <c r="K30" i="2" s="1"/>
  <c r="D31" i="2"/>
  <c r="J31" i="2" s="1"/>
  <c r="K31" i="2" s="1"/>
  <c r="D8" i="2"/>
  <c r="J27" i="2"/>
  <c r="K27" i="2" s="1"/>
  <c r="H29" i="2"/>
  <c r="H25" i="2"/>
  <c r="H8" i="2"/>
  <c r="J20" i="2"/>
  <c r="K20" i="2" s="1"/>
  <c r="J18" i="2"/>
  <c r="K18" i="2" s="1"/>
  <c r="J19" i="2"/>
  <c r="K19" i="2" s="1"/>
  <c r="J16" i="2"/>
  <c r="K16" i="2" s="1"/>
  <c r="J15" i="2"/>
  <c r="K15" i="2" s="1"/>
  <c r="J14" i="2"/>
  <c r="K14" i="2" s="1"/>
  <c r="H9" i="2"/>
  <c r="J11" i="2"/>
  <c r="K11" i="2" s="1"/>
  <c r="H22" i="2"/>
  <c r="Q57" i="1"/>
  <c r="R57" i="1" s="1"/>
  <c r="C39" i="1"/>
  <c r="M39" i="1" s="1"/>
  <c r="C38" i="1"/>
  <c r="J38" i="1" s="1"/>
  <c r="X43" i="1"/>
  <c r="X42" i="1"/>
  <c r="C10" i="1"/>
  <c r="J10" i="1" s="1"/>
  <c r="J9" i="1" s="1"/>
  <c r="M11" i="1"/>
  <c r="J11" i="1"/>
  <c r="G11" i="1"/>
  <c r="R55" i="1"/>
  <c r="J16" i="1"/>
  <c r="N45" i="1"/>
  <c r="P45" i="1" s="1"/>
  <c r="Q45" i="1" s="1"/>
  <c r="R45" i="1" s="1"/>
  <c r="G13" i="1"/>
  <c r="J13" i="1"/>
  <c r="M13" i="1"/>
  <c r="C14" i="1"/>
  <c r="G14" i="1" s="1"/>
  <c r="Y14" i="1"/>
  <c r="G16" i="1"/>
  <c r="M16" i="1"/>
  <c r="Y16" i="1"/>
  <c r="C17" i="1"/>
  <c r="G17" i="1" s="1"/>
  <c r="Y17" i="1"/>
  <c r="H18" i="1"/>
  <c r="K18" i="1"/>
  <c r="L18" i="1"/>
  <c r="Y18" i="1"/>
  <c r="G19" i="1"/>
  <c r="J19" i="1"/>
  <c r="M19" i="1"/>
  <c r="C20" i="1"/>
  <c r="G20" i="1" s="1"/>
  <c r="G21" i="1"/>
  <c r="J21" i="1"/>
  <c r="M21" i="1"/>
  <c r="P22" i="1"/>
  <c r="Q22" i="1" s="1"/>
  <c r="R22" i="1" s="1"/>
  <c r="Y23" i="1"/>
  <c r="C24" i="1"/>
  <c r="J24" i="1" s="1"/>
  <c r="C25" i="1"/>
  <c r="J25" i="1" s="1"/>
  <c r="C26" i="1"/>
  <c r="M26" i="1"/>
  <c r="P27" i="1"/>
  <c r="Q27" i="1" s="1"/>
  <c r="R27" i="1" s="1"/>
  <c r="Y28" i="1"/>
  <c r="C29" i="1"/>
  <c r="G29" i="1" s="1"/>
  <c r="M29" i="1"/>
  <c r="C30" i="1"/>
  <c r="G30" i="1" s="1"/>
  <c r="C32" i="1"/>
  <c r="G32" i="1" s="1"/>
  <c r="C33" i="1"/>
  <c r="G33" i="1" s="1"/>
  <c r="C35" i="1"/>
  <c r="C36" i="1"/>
  <c r="J36" i="1" s="1"/>
  <c r="C41" i="1"/>
  <c r="G41" i="1" s="1"/>
  <c r="C42" i="1"/>
  <c r="G42" i="1" s="1"/>
  <c r="G43" i="1"/>
  <c r="J43" i="1"/>
  <c r="M43" i="1"/>
  <c r="P44" i="1"/>
  <c r="Q44" i="1" s="1"/>
  <c r="R44" i="1" s="1"/>
  <c r="G47" i="1"/>
  <c r="G46" i="1" s="1"/>
  <c r="J47" i="1"/>
  <c r="M47" i="1"/>
  <c r="M46" i="1" s="1"/>
  <c r="P51" i="1"/>
  <c r="Q51" i="1" s="1"/>
  <c r="R51" i="1" s="1"/>
  <c r="P52" i="1"/>
  <c r="Q52" i="1" s="1"/>
  <c r="R52" i="1" s="1"/>
  <c r="P53" i="1"/>
  <c r="Q53" i="1" s="1"/>
  <c r="Y53" i="1"/>
  <c r="P54" i="1"/>
  <c r="Q54" i="1" s="1"/>
  <c r="R54" i="1" s="1"/>
  <c r="N55" i="1"/>
  <c r="P55" i="1" s="1"/>
  <c r="T55" i="1"/>
  <c r="P56" i="1"/>
  <c r="Q56" i="1" s="1"/>
  <c r="R56" i="1" s="1"/>
  <c r="M10" i="1" l="1"/>
  <c r="M9" i="1" s="1"/>
  <c r="M49" i="1" s="1"/>
  <c r="Q49" i="1" s="1"/>
  <c r="R49" i="1" s="1"/>
  <c r="M32" i="1"/>
  <c r="J8" i="2"/>
  <c r="K8" i="2" s="1"/>
  <c r="Q19" i="1"/>
  <c r="R19" i="1" s="1"/>
  <c r="Q50" i="1"/>
  <c r="M30" i="1"/>
  <c r="M28" i="1" s="1"/>
  <c r="Q13" i="1"/>
  <c r="Q16" i="1"/>
  <c r="G39" i="1"/>
  <c r="G38" i="1"/>
  <c r="J39" i="1"/>
  <c r="M38" i="1"/>
  <c r="M37" i="1" s="1"/>
  <c r="Q11" i="1"/>
  <c r="R11" i="1" s="1"/>
  <c r="G10" i="1"/>
  <c r="G9" i="1" s="1"/>
  <c r="Q47" i="1"/>
  <c r="R53" i="1"/>
  <c r="J42" i="1"/>
  <c r="Q42" i="1" s="1"/>
  <c r="R42" i="1" s="1"/>
  <c r="Q43" i="1"/>
  <c r="R43" i="1" s="1"/>
  <c r="M42" i="1"/>
  <c r="M14" i="1"/>
  <c r="M12" i="1" s="1"/>
  <c r="J35" i="1"/>
  <c r="J17" i="1"/>
  <c r="Q17" i="1" s="1"/>
  <c r="R17" i="1" s="1"/>
  <c r="R13" i="1"/>
  <c r="M17" i="1"/>
  <c r="M15" i="1" s="1"/>
  <c r="P18" i="1"/>
  <c r="T51" i="1"/>
  <c r="T52" i="1"/>
  <c r="T53" i="1"/>
  <c r="Q21" i="1"/>
  <c r="R21" i="1" s="1"/>
  <c r="M41" i="1"/>
  <c r="M36" i="1"/>
  <c r="M35" i="1"/>
  <c r="M33" i="1"/>
  <c r="M31" i="1" s="1"/>
  <c r="J32" i="1"/>
  <c r="J30" i="1"/>
  <c r="Q30" i="1" s="1"/>
  <c r="R30" i="1" s="1"/>
  <c r="J29" i="1"/>
  <c r="J26" i="1"/>
  <c r="M24" i="1"/>
  <c r="M20" i="1"/>
  <c r="M18" i="1" s="1"/>
  <c r="J14" i="1"/>
  <c r="J12" i="1" s="1"/>
  <c r="J41" i="1"/>
  <c r="J33" i="1"/>
  <c r="Q33" i="1" s="1"/>
  <c r="R33" i="1" s="1"/>
  <c r="M25" i="1"/>
  <c r="J20" i="1"/>
  <c r="J18" i="1" s="1"/>
  <c r="R47" i="1"/>
  <c r="J46" i="1"/>
  <c r="T54" i="1"/>
  <c r="G31" i="1"/>
  <c r="G40" i="1"/>
  <c r="R16" i="1"/>
  <c r="G18" i="1"/>
  <c r="G15" i="1"/>
  <c r="G28" i="1"/>
  <c r="G36" i="1"/>
  <c r="Q36" i="1" s="1"/>
  <c r="R36" i="1" s="1"/>
  <c r="G35" i="1"/>
  <c r="G26" i="1"/>
  <c r="G25" i="1"/>
  <c r="G24" i="1"/>
  <c r="Q24" i="1" s="1"/>
  <c r="G12" i="1"/>
  <c r="Q41" i="1" l="1"/>
  <c r="Q38" i="1"/>
  <c r="T38" i="1" s="1"/>
  <c r="M48" i="1"/>
  <c r="Q48" i="1" s="1"/>
  <c r="R50" i="1"/>
  <c r="G37" i="1"/>
  <c r="Q39" i="1"/>
  <c r="R39" i="1" s="1"/>
  <c r="Q10" i="1"/>
  <c r="T10" i="1" s="1"/>
  <c r="U10" i="1" s="1"/>
  <c r="R38" i="1"/>
  <c r="Q37" i="1"/>
  <c r="J37" i="1"/>
  <c r="T11" i="1"/>
  <c r="U11" i="1" s="1"/>
  <c r="Q29" i="1"/>
  <c r="Q28" i="1" s="1"/>
  <c r="R28" i="1" s="1"/>
  <c r="Q32" i="1"/>
  <c r="R32" i="1" s="1"/>
  <c r="J34" i="1"/>
  <c r="Q35" i="1"/>
  <c r="R24" i="1"/>
  <c r="M40" i="1"/>
  <c r="J40" i="1"/>
  <c r="T42" i="1"/>
  <c r="Q31" i="1"/>
  <c r="T17" i="1"/>
  <c r="Q20" i="1"/>
  <c r="T19" i="1"/>
  <c r="J15" i="1"/>
  <c r="T13" i="1"/>
  <c r="U13" i="1" s="1"/>
  <c r="Q15" i="1"/>
  <c r="R15" i="1" s="1"/>
  <c r="J23" i="1"/>
  <c r="Q26" i="1"/>
  <c r="R26" i="1" s="1"/>
  <c r="Q14" i="1"/>
  <c r="M23" i="1"/>
  <c r="J31" i="1"/>
  <c r="T50" i="1"/>
  <c r="T30" i="1"/>
  <c r="J28" i="1"/>
  <c r="M34" i="1"/>
  <c r="T36" i="1"/>
  <c r="T16" i="1"/>
  <c r="U16" i="1" s="1"/>
  <c r="T33" i="1"/>
  <c r="T24" i="1"/>
  <c r="G34" i="1"/>
  <c r="T47" i="1"/>
  <c r="Q46" i="1"/>
  <c r="R46" i="1" s="1"/>
  <c r="G23" i="1"/>
  <c r="Q25" i="1"/>
  <c r="R25" i="1" s="1"/>
  <c r="T39" i="1" l="1"/>
  <c r="T32" i="1"/>
  <c r="T29" i="1"/>
  <c r="Q9" i="1"/>
  <c r="R10" i="1"/>
  <c r="R29" i="1"/>
  <c r="R48" i="1"/>
  <c r="R37" i="1"/>
  <c r="T37" i="1"/>
  <c r="Q34" i="1"/>
  <c r="R34" i="1" s="1"/>
  <c r="R35" i="1"/>
  <c r="Q18" i="1"/>
  <c r="R18" i="1" s="1"/>
  <c r="R20" i="1"/>
  <c r="T31" i="1"/>
  <c r="R31" i="1"/>
  <c r="T41" i="1"/>
  <c r="R41" i="1"/>
  <c r="T14" i="1"/>
  <c r="U14" i="1" s="1"/>
  <c r="R14" i="1"/>
  <c r="Q23" i="1"/>
  <c r="R23" i="1" s="1"/>
  <c r="T20" i="1"/>
  <c r="Q12" i="1"/>
  <c r="Q40" i="1"/>
  <c r="R40" i="1" s="1"/>
  <c r="T46" i="1"/>
  <c r="T35" i="1"/>
  <c r="T25" i="1"/>
  <c r="T15" i="1"/>
  <c r="U15" i="1" s="1"/>
  <c r="T28" i="1"/>
  <c r="W13" i="1" l="1"/>
  <c r="X13" i="1" s="1"/>
  <c r="Y13" i="1" s="1"/>
  <c r="Q58" i="1"/>
  <c r="R58" i="1" s="1"/>
  <c r="T9" i="1"/>
  <c r="U9" i="1" s="1"/>
  <c r="R9" i="1"/>
  <c r="T23" i="1"/>
  <c r="T18" i="1"/>
  <c r="R12" i="1"/>
  <c r="T12" i="1"/>
  <c r="U12" i="1" s="1"/>
  <c r="R61" i="1" l="1"/>
  <c r="X15" i="1"/>
  <c r="Y15" i="1" s="1"/>
  <c r="T58" i="1"/>
  <c r="T59" i="1" s="1"/>
  <c r="T60" i="1" s="1"/>
  <c r="Q61" i="1"/>
</calcChain>
</file>

<file path=xl/sharedStrings.xml><?xml version="1.0" encoding="utf-8"?>
<sst xmlns="http://schemas.openxmlformats.org/spreadsheetml/2006/main" count="212" uniqueCount="110">
  <si>
    <t>Người Lập: PHAÏM VIEÁT VAÊN TRIEÀU</t>
  </si>
  <si>
    <t>Stt
No.</t>
  </si>
  <si>
    <t>Khu Vöïc
Area</t>
  </si>
  <si>
    <t>Cơ Sở Tính Toaùn                     Data base</t>
  </si>
  <si>
    <t>Phụ Tải Điện Nguồn - Power load</t>
  </si>
  <si>
    <t>Tổng coâng suaát                                            Total power load</t>
  </si>
  <si>
    <t>Ghi Chuù  Remark</t>
  </si>
  <si>
    <t>Dieän tích saøn       Total floor area</t>
  </si>
  <si>
    <t>Soá löôïng Quantity</t>
  </si>
  <si>
    <t>Chiếu Saùng                            Lighting</t>
  </si>
  <si>
    <t>Ổ Cắm                                   Socket outlet</t>
  </si>
  <si>
    <t>ÑHKK &amp; Thoâng gioù               ACMV</t>
  </si>
  <si>
    <t xml:space="preserve"> Thieát bò khaùc                 Quipments</t>
  </si>
  <si>
    <t>Coâng suaát ñieän chính/ Main power source (kVA)</t>
  </si>
  <si>
    <t>m²</t>
  </si>
  <si>
    <t>Lux</t>
  </si>
  <si>
    <t>VA/m2</t>
  </si>
  <si>
    <t>kVA</t>
  </si>
  <si>
    <t>Heä soá söû duïng/ Factor of use</t>
  </si>
  <si>
    <t>kVA/Đv</t>
  </si>
  <si>
    <t>TAÀNG SAÂN THÖÔÏNG</t>
  </si>
  <si>
    <t>THIẾT BỊ CHUNG</t>
  </si>
  <si>
    <t>Thang maùy</t>
  </si>
  <si>
    <t>Heä thoáng bôm nöôùc sinh hoaït</t>
  </si>
  <si>
    <t>Heä thoáng bôm nöôùc choáng ngaäp</t>
  </si>
  <si>
    <t>Heä thoáng ñieän nheï</t>
  </si>
  <si>
    <t>Heä thoáng bôm chöõa chaùy</t>
  </si>
  <si>
    <t>Ñieàu aùp caàu thang</t>
  </si>
  <si>
    <t>Coâng Suất điện Danh Nghỉa (KVA)</t>
  </si>
  <si>
    <t>Hệ số sử dụng đồng thời</t>
  </si>
  <si>
    <t>Coâng suaát döï phoøng</t>
  </si>
  <si>
    <t>Tổng Tải điện thiết kế</t>
  </si>
  <si>
    <t>Theo tính toan treân caùc maùy bieán vaø maùy phaùt ñieän ñöôïc löïa choïn nhö sau:</t>
  </si>
  <si>
    <t>a)</t>
  </si>
  <si>
    <t>b)</t>
  </si>
  <si>
    <t>c)</t>
  </si>
  <si>
    <t>Taàng soá f = 50Hz</t>
  </si>
  <si>
    <t>d)</t>
  </si>
  <si>
    <t>Caáp ñieän aùp = 15(22KV )/0.4KV</t>
  </si>
  <si>
    <t>Caáp ñieän aùp = 0.38( KV )</t>
  </si>
  <si>
    <t>BẢNG TÍNH PHUÏ TAÛI ÑIEÄN TOØA NHAØ VOV</t>
  </si>
  <si>
    <t>TAÀNG 1</t>
  </si>
  <si>
    <t>Khu thang maùy + nhaø veä sinh</t>
  </si>
  <si>
    <t>Khu vaên phoøng</t>
  </si>
  <si>
    <t>Troïng löôïng ( kg ) =  2260</t>
  </si>
  <si>
    <t>Kích thöôùc L(m) x W(m) x H(m) =  3300 x 1270 x1750</t>
  </si>
  <si>
    <t>Coâng Trình: toøa nhaø VOV</t>
  </si>
  <si>
    <t>Ngaøy: 24/08/2014</t>
  </si>
  <si>
    <t>TAÀNG HAÀM</t>
  </si>
  <si>
    <t>TAÀNG 2- TRƯỜNG QUAY</t>
  </si>
  <si>
    <t>Khu thang maùy + nhaø veä sinh+haønh lang</t>
  </si>
  <si>
    <t>Khu vöïc tröôøng quay</t>
  </si>
  <si>
    <t>Trang thieát bò tröôøng quay</t>
  </si>
  <si>
    <t xml:space="preserve">Tuû ñieän VRV </t>
  </si>
  <si>
    <t>Phoøng maùy</t>
  </si>
  <si>
    <t>Phoøng thu</t>
  </si>
  <si>
    <t>Trang thieát bò phong thu</t>
  </si>
  <si>
    <t>TAÀNG 10-12</t>
  </si>
  <si>
    <t>TAÀNG 13</t>
  </si>
  <si>
    <t>Khu nhaø ôû</t>
  </si>
  <si>
    <t>TAÀNG 14</t>
  </si>
  <si>
    <t>Khu vöïc aên uoáng</t>
  </si>
  <si>
    <t>Beáp</t>
  </si>
  <si>
    <t>Coâng suaát maùy phaùt</t>
  </si>
  <si>
    <t>Thieát bò beáp</t>
  </si>
  <si>
    <t>Kho laïnh</t>
  </si>
  <si>
    <t xml:space="preserve">CHOÏN 1 MAÙY BIEÁN AÙP DAÀU 800 ( KVA ) </t>
  </si>
  <si>
    <t xml:space="preserve">CHOÏN 1 MAÙY PHAÙT ÑIEÄN 800( KVA ) </t>
  </si>
  <si>
    <t xml:space="preserve">Baõi ñaäu xe </t>
  </si>
  <si>
    <t>Khu vực thang maùy + phoøng kyõ thuaät</t>
  </si>
  <si>
    <t>TAÀNG 15</t>
  </si>
  <si>
    <t>Thoâng gioù taàng haàm</t>
  </si>
  <si>
    <t>Tủ bảo vệ vaø chieáu saùng ngoaøi</t>
  </si>
  <si>
    <t>Doøng ñieän ñònh möùc</t>
  </si>
  <si>
    <t>Choïn caùp</t>
  </si>
  <si>
    <t>Chieàu daøi</t>
  </si>
  <si>
    <t>Keát luaän</t>
  </si>
  <si>
    <t>4x6mm2 Cu/XLPE/PVC+6mm2 Cu/PVC</t>
  </si>
  <si>
    <t>Phöông aùn laép ñaët</t>
  </si>
  <si>
    <t>E</t>
  </si>
  <si>
    <t>4x10mm2 Cu/XLPE/PVC+10mm2 Cu/PVC</t>
  </si>
  <si>
    <t>4x50mm2 Cu/XLPE/PVC+25mm2 Cu/PVC</t>
  </si>
  <si>
    <t>TÖØ TRAÏM BIEÁN AÙP ÑEÁN TUÛ MSB</t>
  </si>
  <si>
    <t>TÖØ MAÙY PHAÙT ÑIEÄN ÑEÁN TUÛ MSB</t>
  </si>
  <si>
    <t>TÖØ TUÛ MSB ÑEÁN TUÛ</t>
  </si>
  <si>
    <t>A</t>
  </si>
  <si>
    <t>B</t>
  </si>
  <si>
    <t>C</t>
  </si>
  <si>
    <t xml:space="preserve">3X4x1Cx240mm² Cu/XLPE/PVC 
+1Cx240mm² Cu/XLPE/PVC(N)+240 Cu/PVCmm² </t>
  </si>
  <si>
    <t>4x16mm2 Cu/XLPE/PVC+16mm2 Cu/PVC</t>
  </si>
  <si>
    <t>2x4x150mm2 Cu/XLPE/PVC+150mm2 Cu/PVC (E)</t>
  </si>
  <si>
    <t>22.5/S</t>
  </si>
  <si>
    <t>(Ohm/km)</t>
  </si>
  <si>
    <t>RC=</t>
  </si>
  <si>
    <t>X=</t>
  </si>
  <si>
    <t>ΔU = 1.73IB(RcosK+XsinK)L</t>
  </si>
  <si>
    <t>4x25mm2 Cu/FR/PVC+16mm2 Cu/PVC</t>
  </si>
  <si>
    <t>Chọn doøng ñònh möùc CB</t>
  </si>
  <si>
    <t>4x4mm2 Cu/XLPE/PVC+4mm2 Cu/PVC</t>
  </si>
  <si>
    <t>4x10mm2 Cu/FR/PVC+10mm2 Cu/PVC</t>
  </si>
  <si>
    <t>Doøng ñiện cho pheùp theo TCVN 394</t>
  </si>
  <si>
    <t>ΔU%</t>
  </si>
  <si>
    <t>Đạt</t>
  </si>
  <si>
    <t>D</t>
  </si>
  <si>
    <t>TAÀNG 3- TRƯỜNG QUAY</t>
  </si>
  <si>
    <t>TAÀNG 4- PHOØNG THU</t>
  </si>
  <si>
    <t>TAÀNG 5-9</t>
  </si>
  <si>
    <t>TAÀNG 2</t>
  </si>
  <si>
    <t>Người Lập:TRIỀU MINH ENGINEERING</t>
  </si>
  <si>
    <t>Ngaøy:.....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</si>
</sst>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>
    <font>
      <sz val="10"/>
      <name val="VNI-Times"/>
    </font>
    <font>
      <sz val="10"/>
      <name val="VNI-Times"/>
    </font>
    <font>
      <sz val="10"/>
      <name val="VNI-Aptima"/>
    </font>
    <font>
      <b/>
      <sz val="10"/>
      <name val="VNI-Aptima"/>
    </font>
    <font>
      <sz val="12"/>
      <name val="VNI-Aptima"/>
    </font>
    <font>
      <b/>
      <sz val="10"/>
      <name val="VNI-Times"/>
    </font>
    <font>
      <b/>
      <sz val="22"/>
      <name val="VNI-Times"/>
    </font>
    <font>
      <b/>
      <sz val="12"/>
      <name val="VNI-Times"/>
    </font>
    <font>
      <sz val="12"/>
      <name val="VNI-Times"/>
    </font>
    <font>
      <b/>
      <u/>
      <sz val="10"/>
      <name val="VNI-Times"/>
    </font>
    <font>
      <sz val="9"/>
      <name val="VNI-Aptima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3" borderId="0" xfId="0" applyFont="1" applyFill="1"/>
    <xf numFmtId="0" fontId="2" fillId="0" borderId="19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4" fontId="2" fillId="0" borderId="23" xfId="0" applyNumberFormat="1" applyFont="1" applyFill="1" applyBorder="1" applyAlignment="1">
      <alignment horizontal="center" wrapText="1"/>
    </xf>
    <xf numFmtId="9" fontId="2" fillId="0" borderId="23" xfId="1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/>
    </xf>
    <xf numFmtId="0" fontId="4" fillId="0" borderId="0" xfId="0" applyFont="1" applyFill="1"/>
    <xf numFmtId="0" fontId="2" fillId="0" borderId="27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wrapText="1"/>
    </xf>
    <xf numFmtId="4" fontId="2" fillId="0" borderId="26" xfId="0" applyNumberFormat="1" applyFont="1" applyFill="1" applyBorder="1" applyAlignment="1">
      <alignment horizontal="center" wrapText="1"/>
    </xf>
    <xf numFmtId="9" fontId="2" fillId="0" borderId="26" xfId="1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4" fontId="2" fillId="0" borderId="26" xfId="0" applyNumberFormat="1" applyFont="1" applyBorder="1" applyAlignment="1">
      <alignment horizontal="center" wrapText="1"/>
    </xf>
    <xf numFmtId="9" fontId="2" fillId="0" borderId="26" xfId="1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 wrapText="1"/>
    </xf>
    <xf numFmtId="4" fontId="3" fillId="2" borderId="33" xfId="0" applyNumberFormat="1" applyFont="1" applyFill="1" applyBorder="1" applyAlignment="1">
      <alignment horizontal="left" vertical="center" wrapText="1"/>
    </xf>
    <xf numFmtId="9" fontId="3" fillId="2" borderId="33" xfId="1" applyFont="1" applyFill="1" applyBorder="1" applyAlignment="1">
      <alignment horizontal="left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5" fillId="0" borderId="20" xfId="0" applyFont="1" applyBorder="1"/>
    <xf numFmtId="0" fontId="0" fillId="0" borderId="0" xfId="0" applyFont="1"/>
    <xf numFmtId="0" fontId="5" fillId="0" borderId="0" xfId="0" applyFont="1"/>
    <xf numFmtId="4" fontId="0" fillId="0" borderId="0" xfId="0" applyNumberFormat="1" applyFont="1"/>
    <xf numFmtId="4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4" fontId="5" fillId="2" borderId="20" xfId="0" applyNumberFormat="1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0" borderId="0" xfId="0" applyFont="1" applyFill="1"/>
    <xf numFmtId="0" fontId="0" fillId="3" borderId="20" xfId="0" applyFont="1" applyFill="1" applyBorder="1" applyAlignment="1">
      <alignment horizontal="center" wrapText="1"/>
    </xf>
    <xf numFmtId="0" fontId="0" fillId="3" borderId="0" xfId="0" applyFont="1" applyFill="1"/>
    <xf numFmtId="0" fontId="0" fillId="4" borderId="0" xfId="0" applyFont="1" applyFill="1"/>
    <xf numFmtId="0" fontId="0" fillId="3" borderId="20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4" fontId="8" fillId="0" borderId="0" xfId="0" applyNumberFormat="1" applyFont="1"/>
    <xf numFmtId="0" fontId="8" fillId="0" borderId="35" xfId="0" applyFont="1" applyBorder="1" applyAlignment="1">
      <alignment horizontal="center"/>
    </xf>
    <xf numFmtId="0" fontId="9" fillId="0" borderId="36" xfId="0" applyFont="1" applyFill="1" applyBorder="1"/>
    <xf numFmtId="0" fontId="0" fillId="0" borderId="36" xfId="0" applyFont="1" applyFill="1" applyBorder="1"/>
    <xf numFmtId="4" fontId="0" fillId="0" borderId="36" xfId="0" applyNumberFormat="1" applyFont="1" applyFill="1" applyBorder="1"/>
    <xf numFmtId="0" fontId="8" fillId="0" borderId="36" xfId="0" applyFont="1" applyFill="1" applyBorder="1"/>
    <xf numFmtId="4" fontId="8" fillId="0" borderId="36" xfId="0" applyNumberFormat="1" applyFont="1" applyFill="1" applyBorder="1"/>
    <xf numFmtId="0" fontId="8" fillId="0" borderId="37" xfId="0" applyFont="1" applyFill="1" applyBorder="1"/>
    <xf numFmtId="0" fontId="0" fillId="0" borderId="20" xfId="0" applyFont="1" applyFill="1" applyBorder="1"/>
    <xf numFmtId="4" fontId="0" fillId="0" borderId="20" xfId="0" applyNumberFormat="1" applyFont="1" applyFill="1" applyBorder="1"/>
    <xf numFmtId="0" fontId="8" fillId="0" borderId="20" xfId="0" applyFont="1" applyFill="1" applyBorder="1"/>
    <xf numFmtId="4" fontId="8" fillId="0" borderId="20" xfId="0" applyNumberFormat="1" applyFont="1" applyFill="1" applyBorder="1"/>
    <xf numFmtId="0" fontId="0" fillId="0" borderId="20" xfId="0" applyFont="1" applyBorder="1"/>
    <xf numFmtId="4" fontId="0" fillId="3" borderId="20" xfId="0" applyNumberFormat="1" applyFont="1" applyFill="1" applyBorder="1" applyAlignment="1">
      <alignment horizontal="center" wrapText="1"/>
    </xf>
    <xf numFmtId="9" fontId="0" fillId="3" borderId="20" xfId="1" applyFont="1" applyFill="1" applyBorder="1" applyAlignment="1">
      <alignment horizontal="center" wrapText="1"/>
    </xf>
    <xf numFmtId="2" fontId="0" fillId="3" borderId="20" xfId="0" applyNumberFormat="1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4" fontId="5" fillId="0" borderId="20" xfId="0" applyNumberFormat="1" applyFont="1" applyFill="1" applyBorder="1" applyAlignment="1">
      <alignment horizontal="center" wrapText="1"/>
    </xf>
    <xf numFmtId="164" fontId="5" fillId="0" borderId="20" xfId="0" applyNumberFormat="1" applyFont="1" applyFill="1" applyBorder="1" applyAlignment="1">
      <alignment horizontal="center" wrapText="1"/>
    </xf>
    <xf numFmtId="4" fontId="0" fillId="0" borderId="20" xfId="0" applyNumberFormat="1" applyFont="1" applyFill="1" applyBorder="1" applyAlignment="1">
      <alignment horizontal="center" wrapText="1"/>
    </xf>
    <xf numFmtId="9" fontId="0" fillId="0" borderId="20" xfId="1" applyFont="1" applyFill="1" applyBorder="1" applyAlignment="1">
      <alignment horizontal="center" wrapText="1"/>
    </xf>
    <xf numFmtId="2" fontId="0" fillId="0" borderId="20" xfId="0" applyNumberFormat="1" applyFont="1" applyFill="1" applyBorder="1" applyAlignment="1">
      <alignment horizontal="center" wrapText="1"/>
    </xf>
    <xf numFmtId="9" fontId="5" fillId="0" borderId="20" xfId="1" applyFont="1" applyFill="1" applyBorder="1" applyAlignment="1">
      <alignment horizontal="center" wrapText="1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Fill="1"/>
    <xf numFmtId="0" fontId="9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quotePrefix="1" applyFont="1" applyFill="1"/>
    <xf numFmtId="3" fontId="0" fillId="0" borderId="0" xfId="0" applyNumberFormat="1" applyFont="1"/>
    <xf numFmtId="3" fontId="5" fillId="0" borderId="8" xfId="0" applyNumberFormat="1" applyFont="1" applyBorder="1" applyAlignment="1">
      <alignment horizont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wrapText="1"/>
    </xf>
    <xf numFmtId="3" fontId="0" fillId="3" borderId="20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0" fillId="0" borderId="36" xfId="0" applyNumberFormat="1" applyFont="1" applyFill="1" applyBorder="1" applyAlignment="1">
      <alignment horizontal="center"/>
    </xf>
    <xf numFmtId="3" fontId="5" fillId="0" borderId="20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3" fontId="0" fillId="0" borderId="0" xfId="0" applyNumberFormat="1" applyFont="1" applyFill="1"/>
    <xf numFmtId="3" fontId="8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center"/>
    </xf>
    <xf numFmtId="4" fontId="5" fillId="5" borderId="20" xfId="0" applyNumberFormat="1" applyFont="1" applyFill="1" applyBorder="1" applyAlignment="1">
      <alignment horizontal="center" wrapText="1"/>
    </xf>
    <xf numFmtId="0" fontId="5" fillId="5" borderId="20" xfId="0" applyFont="1" applyFill="1" applyBorder="1" applyAlignment="1">
      <alignment horizontal="center" wrapText="1"/>
    </xf>
    <xf numFmtId="0" fontId="0" fillId="5" borderId="0" xfId="0" applyFont="1" applyFill="1"/>
    <xf numFmtId="0" fontId="5" fillId="5" borderId="18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 wrapText="1"/>
    </xf>
    <xf numFmtId="4" fontId="5" fillId="5" borderId="23" xfId="0" applyNumberFormat="1" applyFont="1" applyFill="1" applyBorder="1" applyAlignment="1">
      <alignment horizontal="center" wrapText="1"/>
    </xf>
    <xf numFmtId="9" fontId="5" fillId="5" borderId="23" xfId="1" applyFont="1" applyFill="1" applyBorder="1" applyAlignment="1">
      <alignment horizontal="center" wrapText="1"/>
    </xf>
    <xf numFmtId="2" fontId="5" fillId="5" borderId="23" xfId="0" applyNumberFormat="1" applyFont="1" applyFill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5" borderId="0" xfId="0" applyFont="1" applyFill="1"/>
    <xf numFmtId="0" fontId="5" fillId="5" borderId="19" xfId="0" applyFont="1" applyFill="1" applyBorder="1" applyAlignment="1">
      <alignment horizontal="left"/>
    </xf>
    <xf numFmtId="3" fontId="5" fillId="5" borderId="20" xfId="0" applyNumberFormat="1" applyFont="1" applyFill="1" applyBorder="1" applyAlignment="1">
      <alignment horizontal="center"/>
    </xf>
    <xf numFmtId="3" fontId="5" fillId="5" borderId="20" xfId="0" applyNumberFormat="1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/>
    </xf>
    <xf numFmtId="0" fontId="3" fillId="5" borderId="8" xfId="0" applyFont="1" applyFill="1" applyBorder="1" applyAlignment="1"/>
    <xf numFmtId="1" fontId="3" fillId="5" borderId="26" xfId="0" applyNumberFormat="1" applyFont="1" applyFill="1" applyBorder="1" applyAlignment="1">
      <alignment horizontal="center" wrapText="1"/>
    </xf>
    <xf numFmtId="165" fontId="3" fillId="5" borderId="26" xfId="0" applyNumberFormat="1" applyFont="1" applyFill="1" applyBorder="1" applyAlignment="1">
      <alignment horizontal="center" wrapText="1"/>
    </xf>
    <xf numFmtId="4" fontId="3" fillId="5" borderId="26" xfId="0" applyNumberFormat="1" applyFont="1" applyFill="1" applyBorder="1" applyAlignment="1">
      <alignment horizontal="center" wrapText="1"/>
    </xf>
    <xf numFmtId="9" fontId="3" fillId="5" borderId="26" xfId="1" applyFont="1" applyFill="1" applyBorder="1" applyAlignment="1">
      <alignment horizontal="center" wrapText="1"/>
    </xf>
    <xf numFmtId="0" fontId="2" fillId="5" borderId="27" xfId="0" applyFont="1" applyFill="1" applyBorder="1" applyAlignment="1">
      <alignment horizontal="center" wrapText="1"/>
    </xf>
    <xf numFmtId="0" fontId="2" fillId="5" borderId="0" xfId="0" applyFont="1" applyFill="1"/>
    <xf numFmtId="4" fontId="2" fillId="0" borderId="15" xfId="1" applyNumberFormat="1" applyFont="1" applyFill="1" applyBorder="1" applyAlignment="1">
      <alignment horizontal="center" wrapText="1"/>
    </xf>
    <xf numFmtId="4" fontId="2" fillId="5" borderId="0" xfId="0" applyNumberFormat="1" applyFont="1" applyFill="1"/>
    <xf numFmtId="4" fontId="5" fillId="5" borderId="0" xfId="0" applyNumberFormat="1" applyFont="1" applyFill="1"/>
    <xf numFmtId="4" fontId="0" fillId="5" borderId="0" xfId="0" applyNumberFormat="1" applyFont="1" applyFill="1"/>
    <xf numFmtId="0" fontId="5" fillId="5" borderId="19" xfId="0" applyFont="1" applyFill="1" applyBorder="1" applyAlignment="1"/>
    <xf numFmtId="4" fontId="5" fillId="0" borderId="0" xfId="0" applyNumberFormat="1" applyFont="1" applyBorder="1"/>
    <xf numFmtId="4" fontId="5" fillId="0" borderId="0" xfId="0" applyNumberFormat="1" applyFont="1"/>
    <xf numFmtId="4" fontId="7" fillId="0" borderId="0" xfId="0" applyNumberFormat="1" applyFont="1"/>
    <xf numFmtId="4" fontId="7" fillId="0" borderId="36" xfId="0" applyNumberFormat="1" applyFont="1" applyFill="1" applyBorder="1"/>
    <xf numFmtId="4" fontId="7" fillId="0" borderId="20" xfId="0" applyNumberFormat="1" applyFont="1" applyFill="1" applyBorder="1"/>
    <xf numFmtId="4" fontId="5" fillId="3" borderId="20" xfId="0" applyNumberFormat="1" applyFont="1" applyFill="1" applyBorder="1" applyAlignment="1">
      <alignment horizontal="center" wrapText="1"/>
    </xf>
    <xf numFmtId="0" fontId="7" fillId="0" borderId="0" xfId="0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0" fontId="3" fillId="5" borderId="1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38" xfId="0" applyFont="1" applyFill="1" applyBorder="1" applyAlignment="1">
      <alignment horizontal="center" wrapText="1"/>
    </xf>
    <xf numFmtId="0" fontId="3" fillId="5" borderId="39" xfId="0" applyFont="1" applyFill="1" applyBorder="1" applyAlignment="1">
      <alignment horizontal="center" wrapText="1"/>
    </xf>
    <xf numFmtId="4" fontId="3" fillId="5" borderId="39" xfId="0" applyNumberFormat="1" applyFont="1" applyFill="1" applyBorder="1" applyAlignment="1">
      <alignment horizontal="center" wrapText="1"/>
    </xf>
    <xf numFmtId="9" fontId="3" fillId="5" borderId="39" xfId="1" applyFont="1" applyFill="1" applyBorder="1" applyAlignment="1">
      <alignment horizontal="center" wrapText="1"/>
    </xf>
    <xf numFmtId="2" fontId="3" fillId="5" borderId="39" xfId="0" applyNumberFormat="1" applyFont="1" applyFill="1" applyBorder="1" applyAlignment="1">
      <alignment horizontal="center" wrapText="1"/>
    </xf>
    <xf numFmtId="4" fontId="3" fillId="5" borderId="23" xfId="0" applyNumberFormat="1" applyFont="1" applyFill="1" applyBorder="1" applyAlignment="1">
      <alignment horizontal="center" wrapText="1"/>
    </xf>
    <xf numFmtId="0" fontId="3" fillId="5" borderId="40" xfId="0" applyFont="1" applyFill="1" applyBorder="1" applyAlignment="1">
      <alignment horizontal="center" wrapText="1"/>
    </xf>
    <xf numFmtId="0" fontId="3" fillId="5" borderId="0" xfId="0" applyFont="1" applyFill="1"/>
    <xf numFmtId="4" fontId="2" fillId="0" borderId="26" xfId="1" applyNumberFormat="1" applyFont="1" applyBorder="1" applyAlignment="1">
      <alignment horizontal="center" wrapText="1"/>
    </xf>
    <xf numFmtId="9" fontId="0" fillId="5" borderId="23" xfId="1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9" fontId="3" fillId="5" borderId="23" xfId="1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0" fillId="0" borderId="18" xfId="0" applyFont="1" applyFill="1" applyBorder="1" applyAlignment="1">
      <alignment horizontal="center"/>
    </xf>
    <xf numFmtId="3" fontId="0" fillId="0" borderId="22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wrapText="1"/>
    </xf>
    <xf numFmtId="4" fontId="0" fillId="0" borderId="23" xfId="0" applyNumberFormat="1" applyFont="1" applyFill="1" applyBorder="1" applyAlignment="1">
      <alignment horizontal="center" wrapText="1"/>
    </xf>
    <xf numFmtId="9" fontId="1" fillId="0" borderId="23" xfId="1" applyFont="1" applyFill="1" applyBorder="1" applyAlignment="1">
      <alignment horizontal="center" wrapText="1"/>
    </xf>
    <xf numFmtId="2" fontId="0" fillId="0" borderId="23" xfId="0" applyNumberFormat="1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/>
    <xf numFmtId="3" fontId="0" fillId="0" borderId="20" xfId="0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center" wrapText="1"/>
    </xf>
    <xf numFmtId="0" fontId="2" fillId="0" borderId="39" xfId="0" applyFont="1" applyFill="1" applyBorder="1" applyAlignment="1">
      <alignment horizontal="center" wrapText="1"/>
    </xf>
    <xf numFmtId="4" fontId="2" fillId="0" borderId="39" xfId="0" applyNumberFormat="1" applyFont="1" applyFill="1" applyBorder="1" applyAlignment="1">
      <alignment horizontal="center" wrapText="1"/>
    </xf>
    <xf numFmtId="9" fontId="2" fillId="0" borderId="39" xfId="1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 wrapText="1"/>
    </xf>
    <xf numFmtId="4" fontId="5" fillId="0" borderId="0" xfId="0" applyNumberFormat="1" applyFont="1" applyFill="1" applyBorder="1"/>
    <xf numFmtId="4" fontId="0" fillId="0" borderId="0" xfId="0" applyNumberFormat="1" applyFont="1" applyFill="1" applyBorder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6" xfId="0" applyFont="1" applyFill="1" applyBorder="1"/>
    <xf numFmtId="0" fontId="5" fillId="0" borderId="28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left"/>
    </xf>
    <xf numFmtId="4" fontId="5" fillId="0" borderId="26" xfId="0" applyNumberFormat="1" applyFont="1" applyFill="1" applyBorder="1" applyAlignment="1">
      <alignment horizontal="center" wrapText="1"/>
    </xf>
    <xf numFmtId="4" fontId="0" fillId="0" borderId="26" xfId="0" applyNumberFormat="1" applyFont="1" applyFill="1" applyBorder="1" applyAlignment="1">
      <alignment horizontal="center" wrapText="1"/>
    </xf>
    <xf numFmtId="0" fontId="5" fillId="0" borderId="26" xfId="0" applyFont="1" applyFill="1" applyBorder="1"/>
    <xf numFmtId="0" fontId="5" fillId="0" borderId="26" xfId="0" applyFont="1" applyFill="1" applyBorder="1" applyAlignment="1"/>
    <xf numFmtId="0" fontId="3" fillId="0" borderId="26" xfId="0" applyFont="1" applyFill="1" applyBorder="1" applyAlignment="1">
      <alignment horizontal="left"/>
    </xf>
    <xf numFmtId="4" fontId="3" fillId="0" borderId="26" xfId="0" applyNumberFormat="1" applyFont="1" applyFill="1" applyBorder="1" applyAlignment="1">
      <alignment horizontal="center" wrapText="1"/>
    </xf>
    <xf numFmtId="0" fontId="3" fillId="0" borderId="26" xfId="0" applyFont="1" applyFill="1" applyBorder="1"/>
    <xf numFmtId="0" fontId="2" fillId="0" borderId="26" xfId="0" applyFont="1" applyFill="1" applyBorder="1"/>
    <xf numFmtId="0" fontId="2" fillId="0" borderId="26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 vertical="center"/>
    </xf>
    <xf numFmtId="0" fontId="4" fillId="0" borderId="26" xfId="0" applyFont="1" applyFill="1" applyBorder="1"/>
    <xf numFmtId="0" fontId="2" fillId="0" borderId="33" xfId="0" applyFont="1" applyFill="1" applyBorder="1" applyAlignment="1">
      <alignment horizontal="left"/>
    </xf>
    <xf numFmtId="4" fontId="2" fillId="0" borderId="33" xfId="0" applyNumberFormat="1" applyFont="1" applyFill="1" applyBorder="1" applyAlignment="1">
      <alignment horizontal="center" wrapText="1"/>
    </xf>
    <xf numFmtId="0" fontId="2" fillId="0" borderId="33" xfId="0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26" xfId="0" applyFill="1" applyBorder="1"/>
    <xf numFmtId="0" fontId="5" fillId="0" borderId="26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justify"/>
    </xf>
    <xf numFmtId="0" fontId="2" fillId="0" borderId="26" xfId="0" applyFont="1" applyFill="1" applyBorder="1" applyAlignment="1">
      <alignment horizontal="justify"/>
    </xf>
    <xf numFmtId="0" fontId="5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/>
    </xf>
    <xf numFmtId="0" fontId="0" fillId="0" borderId="26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26" xfId="0" applyFill="1" applyBorder="1" applyAlignment="1">
      <alignment horizontal="justify"/>
    </xf>
    <xf numFmtId="0" fontId="5" fillId="0" borderId="28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justify" vertical="top"/>
    </xf>
    <xf numFmtId="0" fontId="5" fillId="0" borderId="27" xfId="0" applyFont="1" applyFill="1" applyBorder="1" applyAlignment="1">
      <alignment horizontal="center" vertical="top"/>
    </xf>
    <xf numFmtId="0" fontId="0" fillId="0" borderId="26" xfId="0" applyFill="1" applyBorder="1" applyAlignment="1">
      <alignment wrapText="1"/>
    </xf>
    <xf numFmtId="0" fontId="5" fillId="0" borderId="15" xfId="0" applyFont="1" applyFill="1" applyBorder="1" applyAlignment="1">
      <alignment vertical="top"/>
    </xf>
    <xf numFmtId="0" fontId="10" fillId="0" borderId="2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42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justify" vertical="top"/>
    </xf>
    <xf numFmtId="0" fontId="5" fillId="0" borderId="15" xfId="0" applyFont="1" applyFill="1" applyBorder="1" applyAlignment="1">
      <alignment horizontal="justify" vertical="top"/>
    </xf>
    <xf numFmtId="0" fontId="5" fillId="0" borderId="44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  <xf numFmtId="4" fontId="5" fillId="0" borderId="43" xfId="0" applyNumberFormat="1" applyFont="1" applyFill="1" applyBorder="1" applyAlignment="1">
      <alignment horizontal="center" vertical="top" wrapText="1"/>
    </xf>
    <xf numFmtId="4" fontId="5" fillId="0" borderId="26" xfId="0" applyNumberFormat="1" applyFont="1" applyFill="1" applyBorder="1" applyAlignment="1">
      <alignment horizontal="center" vertical="top" wrapText="1"/>
    </xf>
    <xf numFmtId="165" fontId="5" fillId="0" borderId="41" xfId="0" applyNumberFormat="1" applyFont="1" applyFill="1" applyBorder="1" applyAlignment="1">
      <alignment horizontal="justify" vertical="top"/>
    </xf>
    <xf numFmtId="165" fontId="5" fillId="0" borderId="15" xfId="0" applyNumberFormat="1" applyFont="1" applyFill="1" applyBorder="1" applyAlignment="1">
      <alignment horizontal="justify" vertical="top"/>
    </xf>
    <xf numFmtId="0" fontId="5" fillId="0" borderId="41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view="pageBreakPreview" zoomScale="70" zoomScaleNormal="95" zoomScaleSheetLayoutView="70" workbookViewId="0">
      <selection activeCell="A5" sqref="A5"/>
    </sheetView>
  </sheetViews>
  <sheetFormatPr defaultColWidth="9.09765625" defaultRowHeight="14.5"/>
  <cols>
    <col min="1" max="1" width="10.3984375" style="31" customWidth="1"/>
    <col min="2" max="2" width="37.59765625" style="26" customWidth="1"/>
    <col min="3" max="3" width="14.59765625" style="84" customWidth="1"/>
    <col min="4" max="4" width="9.09765625" style="26" customWidth="1"/>
    <col min="5" max="6" width="9.8984375" style="26" customWidth="1"/>
    <col min="7" max="7" width="9.8984375" style="28" customWidth="1"/>
    <col min="8" max="9" width="9.8984375" style="26" customWidth="1"/>
    <col min="10" max="10" width="9.8984375" style="28" customWidth="1"/>
    <col min="11" max="16" width="9.8984375" style="26" customWidth="1"/>
    <col min="17" max="17" width="11.69921875" style="124" customWidth="1"/>
    <col min="18" max="18" width="11.69921875" style="28" customWidth="1"/>
    <col min="19" max="19" width="13.3984375" style="26" customWidth="1"/>
    <col min="20" max="20" width="7.296875" style="26" hidden="1" customWidth="1"/>
    <col min="21" max="21" width="6.296875" style="26" hidden="1" customWidth="1"/>
    <col min="22" max="25" width="0" style="26" hidden="1" customWidth="1"/>
    <col min="26" max="16384" width="9.09765625" style="26"/>
  </cols>
  <sheetData>
    <row r="1" spans="1:25" ht="29.25" customHeight="1">
      <c r="A1" s="238" t="s">
        <v>40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1:25" ht="26.25" customHeight="1">
      <c r="A2" s="240" t="s">
        <v>46</v>
      </c>
      <c r="B2" s="240"/>
      <c r="C2" s="240"/>
      <c r="D2" s="27"/>
      <c r="J2" s="29"/>
      <c r="K2" s="30"/>
      <c r="L2" s="30"/>
      <c r="M2" s="30"/>
      <c r="Q2" s="123"/>
      <c r="S2" s="30"/>
    </row>
    <row r="3" spans="1:25" ht="15" customHeight="1">
      <c r="A3" s="239" t="s">
        <v>108</v>
      </c>
      <c r="B3" s="239"/>
      <c r="C3" s="239"/>
      <c r="D3" s="239"/>
      <c r="O3" s="28"/>
      <c r="Q3" s="123"/>
      <c r="R3" s="29"/>
      <c r="S3" s="30"/>
    </row>
    <row r="4" spans="1:25" ht="15" customHeight="1">
      <c r="A4" s="239" t="s">
        <v>109</v>
      </c>
      <c r="B4" s="239"/>
      <c r="C4" s="239"/>
      <c r="D4" s="239"/>
      <c r="R4" s="29"/>
      <c r="S4" s="30"/>
    </row>
    <row r="5" spans="1:25" ht="15" customHeight="1" thickBot="1"/>
    <row r="6" spans="1:25" s="32" customFormat="1" ht="48" customHeight="1" thickTop="1">
      <c r="A6" s="244" t="s">
        <v>1</v>
      </c>
      <c r="B6" s="231" t="s">
        <v>2</v>
      </c>
      <c r="C6" s="233" t="s">
        <v>3</v>
      </c>
      <c r="D6" s="235"/>
      <c r="E6" s="233" t="s">
        <v>4</v>
      </c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5"/>
      <c r="Q6" s="233" t="s">
        <v>5</v>
      </c>
      <c r="R6" s="235"/>
      <c r="S6" s="241" t="s">
        <v>6</v>
      </c>
    </row>
    <row r="7" spans="1:25" ht="48.75" customHeight="1">
      <c r="A7" s="245"/>
      <c r="B7" s="232"/>
      <c r="C7" s="85" t="s">
        <v>7</v>
      </c>
      <c r="D7" s="226" t="s">
        <v>8</v>
      </c>
      <c r="E7" s="228" t="s">
        <v>9</v>
      </c>
      <c r="F7" s="229"/>
      <c r="G7" s="230"/>
      <c r="H7" s="228" t="s">
        <v>10</v>
      </c>
      <c r="I7" s="229"/>
      <c r="J7" s="230"/>
      <c r="K7" s="228" t="s">
        <v>11</v>
      </c>
      <c r="L7" s="229"/>
      <c r="M7" s="230"/>
      <c r="N7" s="228" t="s">
        <v>12</v>
      </c>
      <c r="O7" s="229"/>
      <c r="P7" s="230"/>
      <c r="Q7" s="236" t="s">
        <v>13</v>
      </c>
      <c r="R7" s="236" t="s">
        <v>63</v>
      </c>
      <c r="S7" s="242"/>
    </row>
    <row r="8" spans="1:25" ht="61.5" customHeight="1">
      <c r="A8" s="246"/>
      <c r="B8" s="227"/>
      <c r="C8" s="86" t="s">
        <v>14</v>
      </c>
      <c r="D8" s="227"/>
      <c r="E8" s="33" t="s">
        <v>15</v>
      </c>
      <c r="F8" s="33" t="s">
        <v>16</v>
      </c>
      <c r="G8" s="34" t="s">
        <v>17</v>
      </c>
      <c r="H8" s="33" t="s">
        <v>16</v>
      </c>
      <c r="I8" s="33" t="s">
        <v>18</v>
      </c>
      <c r="J8" s="34" t="s">
        <v>17</v>
      </c>
      <c r="K8" s="33" t="s">
        <v>16</v>
      </c>
      <c r="L8" s="33" t="s">
        <v>18</v>
      </c>
      <c r="M8" s="33" t="s">
        <v>17</v>
      </c>
      <c r="N8" s="33" t="s">
        <v>19</v>
      </c>
      <c r="O8" s="33" t="s">
        <v>18</v>
      </c>
      <c r="P8" s="33" t="s">
        <v>17</v>
      </c>
      <c r="Q8" s="237"/>
      <c r="R8" s="237"/>
      <c r="S8" s="243"/>
    </row>
    <row r="9" spans="1:25" ht="14.25" customHeight="1">
      <c r="A9" s="35"/>
      <c r="B9" s="36" t="s">
        <v>48</v>
      </c>
      <c r="C9" s="87"/>
      <c r="D9" s="37"/>
      <c r="E9" s="37"/>
      <c r="F9" s="37"/>
      <c r="G9" s="38">
        <f>G10</f>
        <v>4.34</v>
      </c>
      <c r="H9" s="37"/>
      <c r="I9" s="37"/>
      <c r="J9" s="38">
        <f>J10</f>
        <v>3.1</v>
      </c>
      <c r="K9" s="37"/>
      <c r="L9" s="37"/>
      <c r="M9" s="38">
        <f>M10</f>
        <v>14.26</v>
      </c>
      <c r="N9" s="37"/>
      <c r="O9" s="37"/>
      <c r="P9" s="37"/>
      <c r="Q9" s="38">
        <f>SUBTOTAL(9,Q10:Q11)</f>
        <v>8.76</v>
      </c>
      <c r="R9" s="38">
        <f>Q9</f>
        <v>8.76</v>
      </c>
      <c r="S9" s="39"/>
      <c r="T9" s="28">
        <f>Q9-M9</f>
        <v>-5.5</v>
      </c>
      <c r="U9" s="26">
        <f>T9/1.73/0.38</f>
        <v>-8.3662914511712803</v>
      </c>
    </row>
    <row r="10" spans="1:25" s="40" customFormat="1" ht="15" customHeight="1">
      <c r="A10" s="153">
        <v>1</v>
      </c>
      <c r="B10" s="162" t="s">
        <v>68</v>
      </c>
      <c r="C10" s="154">
        <f>680-C11</f>
        <v>620</v>
      </c>
      <c r="D10" s="45">
        <v>1</v>
      </c>
      <c r="E10" s="155">
        <v>150</v>
      </c>
      <c r="F10" s="155">
        <v>7</v>
      </c>
      <c r="G10" s="156">
        <f>(C10*D10*F10)/1000</f>
        <v>4.34</v>
      </c>
      <c r="H10" s="155">
        <v>5</v>
      </c>
      <c r="I10" s="157">
        <v>1</v>
      </c>
      <c r="J10" s="156">
        <f t="shared" ref="J10" si="0">(H10*D10*C10*I10)/1000</f>
        <v>3.1</v>
      </c>
      <c r="K10" s="155">
        <v>23</v>
      </c>
      <c r="L10" s="157">
        <v>1</v>
      </c>
      <c r="M10" s="158">
        <f t="shared" ref="M10" si="1">(C10*K10*D10*L10)/1000</f>
        <v>14.26</v>
      </c>
      <c r="N10" s="156"/>
      <c r="O10" s="157"/>
      <c r="P10" s="158"/>
      <c r="Q10" s="156">
        <f>J10+G10+P10</f>
        <v>7.4399999999999995</v>
      </c>
      <c r="R10" s="69">
        <f t="shared" ref="R10:R58" si="2">Q10</f>
        <v>7.4399999999999995</v>
      </c>
      <c r="S10" s="159"/>
      <c r="T10" s="80">
        <f t="shared" ref="T10:T55" si="3">Q10-M10</f>
        <v>-6.82</v>
      </c>
      <c r="U10" s="40">
        <f t="shared" ref="U10:U16" si="4">T10/1.73/0.38</f>
        <v>-10.374201399452389</v>
      </c>
    </row>
    <row r="11" spans="1:25" s="40" customFormat="1" ht="15" customHeight="1">
      <c r="A11" s="153">
        <v>2</v>
      </c>
      <c r="B11" s="162" t="s">
        <v>69</v>
      </c>
      <c r="C11" s="154">
        <v>60</v>
      </c>
      <c r="D11" s="45">
        <v>1</v>
      </c>
      <c r="E11" s="155">
        <v>150</v>
      </c>
      <c r="F11" s="155">
        <v>7</v>
      </c>
      <c r="G11" s="156">
        <f>(C11*D11*F11)/1000</f>
        <v>0.42</v>
      </c>
      <c r="H11" s="155">
        <v>5</v>
      </c>
      <c r="I11" s="157">
        <v>1</v>
      </c>
      <c r="J11" s="156">
        <f t="shared" ref="J11" si="5">(H11*D11*C11*I11)/1000</f>
        <v>0.3</v>
      </c>
      <c r="K11" s="155">
        <v>10</v>
      </c>
      <c r="L11" s="157">
        <v>1</v>
      </c>
      <c r="M11" s="158">
        <f t="shared" ref="M11" si="6">(C11*K11*D11*L11)/1000</f>
        <v>0.6</v>
      </c>
      <c r="N11" s="156"/>
      <c r="O11" s="157"/>
      <c r="P11" s="158"/>
      <c r="Q11" s="156">
        <f t="shared" ref="Q11:Q13" si="7">J11+G11+M11+P11</f>
        <v>1.3199999999999998</v>
      </c>
      <c r="R11" s="69">
        <f t="shared" ref="R11" si="8">Q11</f>
        <v>1.3199999999999998</v>
      </c>
      <c r="S11" s="159"/>
      <c r="T11" s="80">
        <f t="shared" ref="T11" si="9">Q11-M11</f>
        <v>0.71999999999999986</v>
      </c>
      <c r="U11" s="40">
        <f t="shared" ref="U11" si="10">T11/1.73/0.38</f>
        <v>1.0952236081533311</v>
      </c>
    </row>
    <row r="12" spans="1:25" s="106" customFormat="1" ht="15.5" customHeight="1">
      <c r="A12" s="100"/>
      <c r="B12" s="107" t="s">
        <v>41</v>
      </c>
      <c r="C12" s="108"/>
      <c r="D12" s="98"/>
      <c r="E12" s="101"/>
      <c r="F12" s="101"/>
      <c r="G12" s="97">
        <f>SUM(G13:G14)</f>
        <v>9.9740000000000002</v>
      </c>
      <c r="H12" s="98"/>
      <c r="I12" s="143"/>
      <c r="J12" s="97">
        <f>SUM(J13:J14)</f>
        <v>10.165000000000001</v>
      </c>
      <c r="K12" s="98"/>
      <c r="L12" s="98"/>
      <c r="M12" s="97">
        <f>SUM(M13:M14)</f>
        <v>35.809999999999995</v>
      </c>
      <c r="N12" s="102"/>
      <c r="O12" s="103"/>
      <c r="P12" s="104"/>
      <c r="Q12" s="97">
        <f>SUBTOTAL(9,Q13:Q14)</f>
        <v>21.119</v>
      </c>
      <c r="R12" s="97">
        <f t="shared" si="2"/>
        <v>21.119</v>
      </c>
      <c r="S12" s="105"/>
      <c r="T12" s="121">
        <f t="shared" si="3"/>
        <v>-14.690999999999995</v>
      </c>
      <c r="U12" s="99">
        <f t="shared" si="4"/>
        <v>-22.347125038028594</v>
      </c>
    </row>
    <row r="13" spans="1:25" s="40" customFormat="1" ht="15.5" customHeight="1">
      <c r="A13" s="153">
        <v>1</v>
      </c>
      <c r="B13" s="160" t="s">
        <v>42</v>
      </c>
      <c r="C13" s="161">
        <v>98</v>
      </c>
      <c r="D13" s="45">
        <v>1</v>
      </c>
      <c r="E13" s="155">
        <v>150</v>
      </c>
      <c r="F13" s="155">
        <v>7</v>
      </c>
      <c r="G13" s="156">
        <f>(C13*D13*F13)/1000</f>
        <v>0.68600000000000005</v>
      </c>
      <c r="H13" s="155">
        <v>5</v>
      </c>
      <c r="I13" s="157">
        <v>1</v>
      </c>
      <c r="J13" s="156">
        <f t="shared" ref="J13" si="11">(H13*D13*C13*I13)/1000</f>
        <v>0.49</v>
      </c>
      <c r="K13" s="155">
        <v>10</v>
      </c>
      <c r="L13" s="157">
        <v>1</v>
      </c>
      <c r="M13" s="158">
        <f t="shared" ref="M13" si="12">(C13*K13*D13*L13)/1000</f>
        <v>0.98</v>
      </c>
      <c r="N13" s="156"/>
      <c r="O13" s="157"/>
      <c r="P13" s="158"/>
      <c r="Q13" s="156">
        <f t="shared" si="7"/>
        <v>2.1560000000000001</v>
      </c>
      <c r="R13" s="69">
        <f t="shared" si="2"/>
        <v>2.1560000000000001</v>
      </c>
      <c r="S13" s="159"/>
      <c r="T13" s="80">
        <f t="shared" si="3"/>
        <v>1.1760000000000002</v>
      </c>
      <c r="U13" s="40">
        <f t="shared" si="4"/>
        <v>1.7888652266504415</v>
      </c>
      <c r="W13" s="80">
        <f>T13+T14</f>
        <v>-14.690999999999997</v>
      </c>
      <c r="X13" s="40">
        <f>W13*4</f>
        <v>-58.763999999999989</v>
      </c>
      <c r="Y13" s="40">
        <f>X13/0.38/1.73</f>
        <v>-89.388500152114375</v>
      </c>
    </row>
    <row r="14" spans="1:25" s="40" customFormat="1" ht="15.5" customHeight="1">
      <c r="A14" s="153">
        <v>2</v>
      </c>
      <c r="B14" s="160" t="s">
        <v>43</v>
      </c>
      <c r="C14" s="161">
        <f>485-C13</f>
        <v>387</v>
      </c>
      <c r="D14" s="45">
        <v>1</v>
      </c>
      <c r="E14" s="155">
        <v>500</v>
      </c>
      <c r="F14" s="155">
        <v>24</v>
      </c>
      <c r="G14" s="156">
        <f>(C14*D14*F14)/1000</f>
        <v>9.2880000000000003</v>
      </c>
      <c r="H14" s="155">
        <v>25</v>
      </c>
      <c r="I14" s="157">
        <v>1</v>
      </c>
      <c r="J14" s="156">
        <f t="shared" ref="J14:J47" si="13">(H14*D14*C14*I14)/1000</f>
        <v>9.6750000000000007</v>
      </c>
      <c r="K14" s="155">
        <v>90</v>
      </c>
      <c r="L14" s="157">
        <v>1</v>
      </c>
      <c r="M14" s="158">
        <f t="shared" ref="M14:M47" si="14">(C14*K14*D14*L14)/1000</f>
        <v>34.83</v>
      </c>
      <c r="N14" s="156"/>
      <c r="O14" s="157"/>
      <c r="P14" s="158"/>
      <c r="Q14" s="156">
        <f>J14+G14+P14</f>
        <v>18.963000000000001</v>
      </c>
      <c r="R14" s="69">
        <f t="shared" si="2"/>
        <v>18.963000000000001</v>
      </c>
      <c r="S14" s="159"/>
      <c r="T14" s="80">
        <f t="shared" si="3"/>
        <v>-15.866999999999997</v>
      </c>
      <c r="U14" s="40">
        <f t="shared" si="4"/>
        <v>-24.135990264679034</v>
      </c>
      <c r="Y14" s="40">
        <f t="shared" ref="Y14:Y18" si="15">X14/0.38/1.73</f>
        <v>0</v>
      </c>
    </row>
    <row r="15" spans="1:25" s="106" customFormat="1" ht="15.5" customHeight="1">
      <c r="A15" s="100"/>
      <c r="B15" s="107" t="s">
        <v>107</v>
      </c>
      <c r="C15" s="109"/>
      <c r="D15" s="98"/>
      <c r="E15" s="101"/>
      <c r="F15" s="101"/>
      <c r="G15" s="97">
        <f>SUM(G16:G17)</f>
        <v>6.4939999999999998</v>
      </c>
      <c r="H15" s="98"/>
      <c r="I15" s="143"/>
      <c r="J15" s="97">
        <f>SUM(J16:J17)</f>
        <v>6.54</v>
      </c>
      <c r="K15" s="98"/>
      <c r="L15" s="98"/>
      <c r="M15" s="97">
        <f>SUM(M16:M17)</f>
        <v>22.76</v>
      </c>
      <c r="N15" s="102"/>
      <c r="O15" s="103"/>
      <c r="P15" s="104"/>
      <c r="Q15" s="97">
        <f>SUBTOTAL(9,Q16:Q17)</f>
        <v>14.014000000000001</v>
      </c>
      <c r="R15" s="97">
        <f t="shared" si="2"/>
        <v>14.014000000000001</v>
      </c>
      <c r="S15" s="105"/>
      <c r="T15" s="120">
        <f t="shared" si="3"/>
        <v>-8.7460000000000004</v>
      </c>
      <c r="U15" s="106">
        <f t="shared" si="4"/>
        <v>-13.303924551262549</v>
      </c>
      <c r="X15" s="120">
        <f>T15+T12</f>
        <v>-23.436999999999998</v>
      </c>
      <c r="Y15" s="106">
        <f t="shared" si="15"/>
        <v>-35.651049589291141</v>
      </c>
    </row>
    <row r="16" spans="1:25" s="40" customFormat="1" ht="15.5" customHeight="1">
      <c r="A16" s="153">
        <v>1</v>
      </c>
      <c r="B16" s="160" t="s">
        <v>42</v>
      </c>
      <c r="C16" s="161">
        <v>98</v>
      </c>
      <c r="D16" s="45">
        <v>1</v>
      </c>
      <c r="E16" s="155">
        <v>150</v>
      </c>
      <c r="F16" s="155">
        <v>7</v>
      </c>
      <c r="G16" s="156">
        <f t="shared" ref="G16:G47" si="16">(C16*D16*F16)/1000</f>
        <v>0.68600000000000005</v>
      </c>
      <c r="H16" s="155">
        <v>5</v>
      </c>
      <c r="I16" s="157">
        <v>1</v>
      </c>
      <c r="J16" s="156">
        <f t="shared" si="13"/>
        <v>0.49</v>
      </c>
      <c r="K16" s="155">
        <v>10</v>
      </c>
      <c r="L16" s="157">
        <v>1</v>
      </c>
      <c r="M16" s="158">
        <f t="shared" si="14"/>
        <v>0.98</v>
      </c>
      <c r="N16" s="156"/>
      <c r="O16" s="157"/>
      <c r="P16" s="158"/>
      <c r="Q16" s="156">
        <f t="shared" ref="Q16" si="17">J16+G16+M16+P16</f>
        <v>2.1560000000000001</v>
      </c>
      <c r="R16" s="69">
        <f t="shared" si="2"/>
        <v>2.1560000000000001</v>
      </c>
      <c r="S16" s="159"/>
      <c r="T16" s="80">
        <f t="shared" si="3"/>
        <v>1.1760000000000002</v>
      </c>
      <c r="U16" s="40">
        <f t="shared" si="4"/>
        <v>1.7888652266504415</v>
      </c>
      <c r="Y16" s="40">
        <f t="shared" si="15"/>
        <v>0</v>
      </c>
    </row>
    <row r="17" spans="1:25" s="40" customFormat="1" ht="15.5" customHeight="1">
      <c r="A17" s="153">
        <v>2</v>
      </c>
      <c r="B17" s="160" t="s">
        <v>43</v>
      </c>
      <c r="C17" s="161">
        <f>485-C16-145</f>
        <v>242</v>
      </c>
      <c r="D17" s="45">
        <v>1</v>
      </c>
      <c r="E17" s="155">
        <v>500</v>
      </c>
      <c r="F17" s="155">
        <v>24</v>
      </c>
      <c r="G17" s="156">
        <f t="shared" si="16"/>
        <v>5.8079999999999998</v>
      </c>
      <c r="H17" s="155">
        <v>25</v>
      </c>
      <c r="I17" s="157">
        <v>1</v>
      </c>
      <c r="J17" s="156">
        <f t="shared" si="13"/>
        <v>6.05</v>
      </c>
      <c r="K17" s="155">
        <v>90</v>
      </c>
      <c r="L17" s="157">
        <v>1</v>
      </c>
      <c r="M17" s="158">
        <f t="shared" si="14"/>
        <v>21.78</v>
      </c>
      <c r="N17" s="156"/>
      <c r="O17" s="157"/>
      <c r="P17" s="158"/>
      <c r="Q17" s="156">
        <f t="shared" ref="Q17:Q33" si="18">J17+G17+P17</f>
        <v>11.858000000000001</v>
      </c>
      <c r="R17" s="69">
        <f t="shared" si="2"/>
        <v>11.858000000000001</v>
      </c>
      <c r="S17" s="159"/>
      <c r="T17" s="80">
        <f t="shared" si="3"/>
        <v>-9.9220000000000006</v>
      </c>
      <c r="Y17" s="40">
        <f t="shared" si="15"/>
        <v>0</v>
      </c>
    </row>
    <row r="18" spans="1:25" s="106" customFormat="1" ht="15.5" customHeight="1">
      <c r="A18" s="100"/>
      <c r="B18" s="107" t="s">
        <v>104</v>
      </c>
      <c r="C18" s="108"/>
      <c r="D18" s="98"/>
      <c r="E18" s="101"/>
      <c r="F18" s="101"/>
      <c r="G18" s="97">
        <f>SUM(G19:G22)</f>
        <v>8.520999999999999</v>
      </c>
      <c r="H18" s="97">
        <f t="shared" ref="H18:M18" si="19">SUM(H19:H22)</f>
        <v>55</v>
      </c>
      <c r="I18" s="143"/>
      <c r="J18" s="97">
        <f t="shared" si="19"/>
        <v>9.5950000000000006</v>
      </c>
      <c r="K18" s="97">
        <f t="shared" si="19"/>
        <v>210</v>
      </c>
      <c r="L18" s="97">
        <f t="shared" si="19"/>
        <v>3</v>
      </c>
      <c r="M18" s="97">
        <f t="shared" si="19"/>
        <v>39.669999999999995</v>
      </c>
      <c r="N18" s="102"/>
      <c r="O18" s="103"/>
      <c r="P18" s="97">
        <f>SUM(P19:P22)</f>
        <v>70</v>
      </c>
      <c r="Q18" s="97">
        <f>SUBTOTAL(9,Q19:Q22)</f>
        <v>89.305999999999997</v>
      </c>
      <c r="R18" s="97">
        <f t="shared" si="2"/>
        <v>89.305999999999997</v>
      </c>
      <c r="S18" s="105"/>
      <c r="T18" s="121">
        <f t="shared" si="3"/>
        <v>49.636000000000003</v>
      </c>
      <c r="Y18" s="99">
        <f t="shared" si="15"/>
        <v>0</v>
      </c>
    </row>
    <row r="19" spans="1:25" s="40" customFormat="1" ht="15.5" customHeight="1">
      <c r="A19" s="153">
        <v>1</v>
      </c>
      <c r="B19" s="160" t="s">
        <v>50</v>
      </c>
      <c r="C19" s="161">
        <v>119</v>
      </c>
      <c r="D19" s="45">
        <v>1</v>
      </c>
      <c r="E19" s="155">
        <v>150</v>
      </c>
      <c r="F19" s="155">
        <v>7</v>
      </c>
      <c r="G19" s="156">
        <f>(C19*D19*F19)/1000</f>
        <v>0.83299999999999996</v>
      </c>
      <c r="H19" s="155">
        <v>5</v>
      </c>
      <c r="I19" s="157">
        <v>1</v>
      </c>
      <c r="J19" s="156">
        <f t="shared" si="13"/>
        <v>0.59499999999999997</v>
      </c>
      <c r="K19" s="155">
        <v>10</v>
      </c>
      <c r="L19" s="157">
        <v>1</v>
      </c>
      <c r="M19" s="158">
        <f t="shared" si="14"/>
        <v>1.19</v>
      </c>
      <c r="N19" s="156"/>
      <c r="O19" s="157"/>
      <c r="P19" s="158"/>
      <c r="Q19" s="156">
        <f t="shared" ref="Q19" si="20">J19+G19+M19+P19</f>
        <v>2.6179999999999999</v>
      </c>
      <c r="R19" s="69">
        <f t="shared" si="2"/>
        <v>2.6179999999999999</v>
      </c>
      <c r="S19" s="159"/>
      <c r="T19" s="80">
        <f t="shared" si="3"/>
        <v>1.4279999999999999</v>
      </c>
    </row>
    <row r="20" spans="1:25" s="40" customFormat="1" ht="15.75" customHeight="1">
      <c r="A20" s="153">
        <v>2</v>
      </c>
      <c r="B20" s="160" t="s">
        <v>51</v>
      </c>
      <c r="C20" s="161">
        <f>152*2</f>
        <v>304</v>
      </c>
      <c r="D20" s="45">
        <v>1</v>
      </c>
      <c r="E20" s="155">
        <v>500</v>
      </c>
      <c r="F20" s="155">
        <v>24</v>
      </c>
      <c r="G20" s="156">
        <f t="shared" si="16"/>
        <v>7.2960000000000003</v>
      </c>
      <c r="H20" s="155">
        <v>25</v>
      </c>
      <c r="I20" s="157">
        <v>1</v>
      </c>
      <c r="J20" s="156">
        <f t="shared" si="13"/>
        <v>7.6</v>
      </c>
      <c r="K20" s="155">
        <v>110</v>
      </c>
      <c r="L20" s="157">
        <v>1</v>
      </c>
      <c r="M20" s="158">
        <f>(C20*K20*D20*L20)/1000</f>
        <v>33.44</v>
      </c>
      <c r="N20" s="156"/>
      <c r="O20" s="157"/>
      <c r="P20" s="158"/>
      <c r="Q20" s="156">
        <f t="shared" si="18"/>
        <v>14.896000000000001</v>
      </c>
      <c r="R20" s="69">
        <f t="shared" si="2"/>
        <v>14.896000000000001</v>
      </c>
      <c r="S20" s="159"/>
      <c r="T20" s="80">
        <f t="shared" si="3"/>
        <v>-18.543999999999997</v>
      </c>
    </row>
    <row r="21" spans="1:25" s="40" customFormat="1" ht="15.75" customHeight="1">
      <c r="A21" s="153">
        <v>3</v>
      </c>
      <c r="B21" s="160" t="s">
        <v>54</v>
      </c>
      <c r="C21" s="161">
        <v>56</v>
      </c>
      <c r="D21" s="45">
        <v>1</v>
      </c>
      <c r="E21" s="155">
        <v>150</v>
      </c>
      <c r="F21" s="155">
        <v>7</v>
      </c>
      <c r="G21" s="156">
        <f>(C21*D21*F21)/1000</f>
        <v>0.39200000000000002</v>
      </c>
      <c r="H21" s="155">
        <v>25</v>
      </c>
      <c r="I21" s="157">
        <v>1</v>
      </c>
      <c r="J21" s="156">
        <f t="shared" ref="J21" si="21">(H21*D21*C21*I21)/1000</f>
        <v>1.4</v>
      </c>
      <c r="K21" s="155">
        <v>90</v>
      </c>
      <c r="L21" s="157">
        <v>1</v>
      </c>
      <c r="M21" s="158">
        <f t="shared" ref="M21" si="22">(C21*K21*D21*L21)/1000</f>
        <v>5.04</v>
      </c>
      <c r="N21" s="156"/>
      <c r="O21" s="157"/>
      <c r="P21" s="158"/>
      <c r="Q21" s="156">
        <f t="shared" si="18"/>
        <v>1.7919999999999998</v>
      </c>
      <c r="R21" s="69">
        <f t="shared" si="2"/>
        <v>1.7919999999999998</v>
      </c>
      <c r="S21" s="159"/>
      <c r="T21" s="80"/>
    </row>
    <row r="22" spans="1:25" s="40" customFormat="1" ht="15.75" customHeight="1">
      <c r="A22" s="153">
        <v>4</v>
      </c>
      <c r="B22" s="160" t="s">
        <v>52</v>
      </c>
      <c r="C22" s="161"/>
      <c r="D22" s="45">
        <v>1</v>
      </c>
      <c r="E22" s="155"/>
      <c r="F22" s="155"/>
      <c r="G22" s="156"/>
      <c r="H22" s="155"/>
      <c r="I22" s="157">
        <v>1</v>
      </c>
      <c r="J22" s="156"/>
      <c r="K22" s="155"/>
      <c r="L22" s="157"/>
      <c r="M22" s="158"/>
      <c r="N22" s="156">
        <v>70</v>
      </c>
      <c r="O22" s="157">
        <v>1</v>
      </c>
      <c r="P22" s="4">
        <f t="shared" ref="P22" si="23">N22*D22*O22</f>
        <v>70</v>
      </c>
      <c r="Q22" s="156">
        <f t="shared" si="18"/>
        <v>70</v>
      </c>
      <c r="R22" s="69">
        <f t="shared" si="2"/>
        <v>70</v>
      </c>
      <c r="S22" s="159"/>
      <c r="T22" s="80"/>
    </row>
    <row r="23" spans="1:25" s="106" customFormat="1" ht="15.5" customHeight="1">
      <c r="A23" s="100"/>
      <c r="B23" s="107" t="s">
        <v>105</v>
      </c>
      <c r="C23" s="108"/>
      <c r="D23" s="98"/>
      <c r="E23" s="101"/>
      <c r="F23" s="101"/>
      <c r="G23" s="97">
        <f>SUM(G24:G27)</f>
        <v>9.1420000000000012</v>
      </c>
      <c r="H23" s="97"/>
      <c r="I23" s="143"/>
      <c r="J23" s="97">
        <f t="shared" ref="J23:M23" si="24">SUM(J24:J27)</f>
        <v>9.2249999999999996</v>
      </c>
      <c r="K23" s="97"/>
      <c r="L23" s="97"/>
      <c r="M23" s="97">
        <f t="shared" si="24"/>
        <v>32.17</v>
      </c>
      <c r="N23" s="102"/>
      <c r="O23" s="103"/>
      <c r="P23" s="104"/>
      <c r="Q23" s="97">
        <f>SUBTOTAL(9,Q24:Q27)</f>
        <v>89.667000000000002</v>
      </c>
      <c r="R23" s="97">
        <f t="shared" si="2"/>
        <v>89.667000000000002</v>
      </c>
      <c r="S23" s="105"/>
      <c r="T23" s="121">
        <f t="shared" ref="T23:T25" si="25">Q23-M23</f>
        <v>57.497</v>
      </c>
      <c r="Y23" s="99">
        <f t="shared" ref="Y23" si="26">X23/0.38/1.73</f>
        <v>0</v>
      </c>
    </row>
    <row r="24" spans="1:25" s="40" customFormat="1" ht="15.5" customHeight="1">
      <c r="A24" s="153">
        <v>1</v>
      </c>
      <c r="B24" s="160" t="s">
        <v>50</v>
      </c>
      <c r="C24" s="161">
        <f>130</f>
        <v>130</v>
      </c>
      <c r="D24" s="45">
        <v>1</v>
      </c>
      <c r="E24" s="155">
        <v>150</v>
      </c>
      <c r="F24" s="155">
        <v>7</v>
      </c>
      <c r="G24" s="156">
        <f>(C24*D24*F24)/1000</f>
        <v>0.91</v>
      </c>
      <c r="H24" s="155">
        <v>5</v>
      </c>
      <c r="I24" s="157">
        <v>1</v>
      </c>
      <c r="J24" s="156">
        <f t="shared" ref="J24:J25" si="27">(H24*D24*C24*I24)/1000</f>
        <v>0.65</v>
      </c>
      <c r="K24" s="155">
        <v>10</v>
      </c>
      <c r="L24" s="157">
        <v>1</v>
      </c>
      <c r="M24" s="158">
        <f t="shared" ref="M24" si="28">(C24*K24*D24*L24)/1000</f>
        <v>1.3</v>
      </c>
      <c r="N24" s="156"/>
      <c r="O24" s="157"/>
      <c r="P24" s="158"/>
      <c r="Q24" s="156">
        <f t="shared" ref="Q24" si="29">J24+G24+M24+P24</f>
        <v>2.8600000000000003</v>
      </c>
      <c r="R24" s="69">
        <f t="shared" si="2"/>
        <v>2.8600000000000003</v>
      </c>
      <c r="S24" s="159"/>
      <c r="T24" s="80">
        <f t="shared" si="25"/>
        <v>1.5600000000000003</v>
      </c>
    </row>
    <row r="25" spans="1:25" s="40" customFormat="1" ht="15.75" customHeight="1">
      <c r="A25" s="153">
        <v>2</v>
      </c>
      <c r="B25" s="160" t="s">
        <v>55</v>
      </c>
      <c r="C25" s="161">
        <f>70*2+47</f>
        <v>187</v>
      </c>
      <c r="D25" s="45">
        <v>1</v>
      </c>
      <c r="E25" s="155">
        <v>500</v>
      </c>
      <c r="F25" s="155">
        <v>24</v>
      </c>
      <c r="G25" s="156">
        <f t="shared" ref="G25" si="30">(C25*D25*F25)/1000</f>
        <v>4.4880000000000004</v>
      </c>
      <c r="H25" s="155">
        <v>25</v>
      </c>
      <c r="I25" s="157">
        <v>1</v>
      </c>
      <c r="J25" s="156">
        <f t="shared" si="27"/>
        <v>4.6749999999999998</v>
      </c>
      <c r="K25" s="155">
        <v>90</v>
      </c>
      <c r="L25" s="157">
        <v>1</v>
      </c>
      <c r="M25" s="158">
        <f>(C25*K25*D25*L25)/1000</f>
        <v>16.829999999999998</v>
      </c>
      <c r="N25" s="156"/>
      <c r="O25" s="157"/>
      <c r="P25" s="158"/>
      <c r="Q25" s="156">
        <f t="shared" ref="Q25:Q26" si="31">J25+G25+P25</f>
        <v>9.1630000000000003</v>
      </c>
      <c r="R25" s="69">
        <f t="shared" si="2"/>
        <v>9.1630000000000003</v>
      </c>
      <c r="S25" s="159"/>
      <c r="T25" s="80">
        <f t="shared" si="25"/>
        <v>-7.666999999999998</v>
      </c>
    </row>
    <row r="26" spans="1:25" s="40" customFormat="1" ht="15.75" customHeight="1">
      <c r="A26" s="153">
        <v>3</v>
      </c>
      <c r="B26" s="160" t="s">
        <v>54</v>
      </c>
      <c r="C26" s="161">
        <f>55*2+46</f>
        <v>156</v>
      </c>
      <c r="D26" s="45">
        <v>1</v>
      </c>
      <c r="E26" s="155">
        <v>500</v>
      </c>
      <c r="F26" s="155">
        <v>24</v>
      </c>
      <c r="G26" s="156">
        <f t="shared" ref="G26" si="32">(C26*D26*F26)/1000</f>
        <v>3.7440000000000002</v>
      </c>
      <c r="H26" s="155">
        <v>25</v>
      </c>
      <c r="I26" s="157">
        <v>1</v>
      </c>
      <c r="J26" s="156">
        <f t="shared" ref="J26" si="33">(H26*D26*C26*I26)/1000</f>
        <v>3.9</v>
      </c>
      <c r="K26" s="155">
        <v>90</v>
      </c>
      <c r="L26" s="157">
        <v>1</v>
      </c>
      <c r="M26" s="158">
        <f>(C26*K26*D26*L26)/1000</f>
        <v>14.04</v>
      </c>
      <c r="N26" s="156"/>
      <c r="O26" s="157"/>
      <c r="P26" s="158"/>
      <c r="Q26" s="156">
        <f t="shared" si="31"/>
        <v>7.6440000000000001</v>
      </c>
      <c r="R26" s="69">
        <f t="shared" si="2"/>
        <v>7.6440000000000001</v>
      </c>
      <c r="S26" s="159"/>
      <c r="T26" s="80"/>
    </row>
    <row r="27" spans="1:25" s="40" customFormat="1" ht="15.75" customHeight="1">
      <c r="A27" s="153">
        <v>4</v>
      </c>
      <c r="B27" s="160" t="s">
        <v>56</v>
      </c>
      <c r="C27" s="161"/>
      <c r="D27" s="45">
        <v>1</v>
      </c>
      <c r="E27" s="155"/>
      <c r="F27" s="155"/>
      <c r="G27" s="156"/>
      <c r="H27" s="155"/>
      <c r="I27" s="157">
        <v>1</v>
      </c>
      <c r="J27" s="156"/>
      <c r="K27" s="155"/>
      <c r="L27" s="157"/>
      <c r="M27" s="158"/>
      <c r="N27" s="156">
        <v>70</v>
      </c>
      <c r="O27" s="157">
        <v>1</v>
      </c>
      <c r="P27" s="4">
        <f t="shared" ref="P27" si="34">N27*D27*O27</f>
        <v>70</v>
      </c>
      <c r="Q27" s="156">
        <f t="shared" ref="Q27" si="35">J27+G27+P27</f>
        <v>70</v>
      </c>
      <c r="R27" s="69">
        <f t="shared" si="2"/>
        <v>70</v>
      </c>
      <c r="S27" s="159"/>
      <c r="T27" s="80"/>
    </row>
    <row r="28" spans="1:25" s="106" customFormat="1" ht="15.5" customHeight="1">
      <c r="A28" s="100"/>
      <c r="B28" s="107" t="s">
        <v>106</v>
      </c>
      <c r="C28" s="108"/>
      <c r="D28" s="98"/>
      <c r="E28" s="101"/>
      <c r="F28" s="101"/>
      <c r="G28" s="97">
        <f>SUM(G29:G30)</f>
        <v>9.141</v>
      </c>
      <c r="H28" s="98"/>
      <c r="I28" s="143"/>
      <c r="J28" s="97">
        <f>SUM(J29:J30)</f>
        <v>9.1849999999999987</v>
      </c>
      <c r="K28" s="98"/>
      <c r="L28" s="98"/>
      <c r="M28" s="97">
        <f>SUM(M29:M30)</f>
        <v>31.89</v>
      </c>
      <c r="N28" s="102"/>
      <c r="O28" s="103"/>
      <c r="P28" s="104"/>
      <c r="Q28" s="97">
        <f>SUBTOTAL(9,Q29:Q30)</f>
        <v>19.795999999999999</v>
      </c>
      <c r="R28" s="97">
        <f t="shared" si="2"/>
        <v>19.795999999999999</v>
      </c>
      <c r="S28" s="105"/>
      <c r="T28" s="121">
        <f t="shared" ref="T28:T30" si="36">Q28-M28</f>
        <v>-12.094000000000001</v>
      </c>
      <c r="Y28" s="99">
        <f t="shared" ref="Y28" si="37">X28/0.38/1.73</f>
        <v>0</v>
      </c>
    </row>
    <row r="29" spans="1:25" s="40" customFormat="1" ht="15.5" customHeight="1">
      <c r="A29" s="153">
        <v>1</v>
      </c>
      <c r="B29" s="160" t="s">
        <v>42</v>
      </c>
      <c r="C29" s="161">
        <f>98+49</f>
        <v>147</v>
      </c>
      <c r="D29" s="45">
        <v>1</v>
      </c>
      <c r="E29" s="155">
        <v>150</v>
      </c>
      <c r="F29" s="155">
        <v>7</v>
      </c>
      <c r="G29" s="156">
        <f>(C29*D29*F29)/1000</f>
        <v>1.0289999999999999</v>
      </c>
      <c r="H29" s="155">
        <v>5</v>
      </c>
      <c r="I29" s="157">
        <v>1</v>
      </c>
      <c r="J29" s="156">
        <f t="shared" ref="J29:J30" si="38">(H29*D29*C29*I29)/1000</f>
        <v>0.73499999999999999</v>
      </c>
      <c r="K29" s="155">
        <v>10</v>
      </c>
      <c r="L29" s="157">
        <v>1</v>
      </c>
      <c r="M29" s="158">
        <f t="shared" ref="M29" si="39">(C29*K29*D29*L29)/1000</f>
        <v>1.47</v>
      </c>
      <c r="N29" s="156"/>
      <c r="O29" s="157"/>
      <c r="P29" s="158"/>
      <c r="Q29" s="156">
        <f t="shared" ref="Q29" si="40">J29+G29+M29+P29</f>
        <v>3.234</v>
      </c>
      <c r="R29" s="69">
        <f t="shared" si="2"/>
        <v>3.234</v>
      </c>
      <c r="S29" s="159"/>
      <c r="T29" s="80">
        <f t="shared" si="36"/>
        <v>1.764</v>
      </c>
    </row>
    <row r="30" spans="1:25" s="40" customFormat="1" ht="15.75" customHeight="1">
      <c r="A30" s="153">
        <v>2</v>
      </c>
      <c r="B30" s="160" t="s">
        <v>43</v>
      </c>
      <c r="C30" s="161">
        <f>387-49</f>
        <v>338</v>
      </c>
      <c r="D30" s="45">
        <v>1</v>
      </c>
      <c r="E30" s="155">
        <v>500</v>
      </c>
      <c r="F30" s="155">
        <v>24</v>
      </c>
      <c r="G30" s="156">
        <f t="shared" ref="G30" si="41">(C30*D30*F30)/1000</f>
        <v>8.1120000000000001</v>
      </c>
      <c r="H30" s="155">
        <v>25</v>
      </c>
      <c r="I30" s="157">
        <v>1</v>
      </c>
      <c r="J30" s="156">
        <f t="shared" si="38"/>
        <v>8.4499999999999993</v>
      </c>
      <c r="K30" s="155">
        <v>90</v>
      </c>
      <c r="L30" s="157">
        <v>1</v>
      </c>
      <c r="M30" s="158">
        <f>(C30*K30*D30*L30)/1000</f>
        <v>30.42</v>
      </c>
      <c r="N30" s="156"/>
      <c r="O30" s="157"/>
      <c r="P30" s="158"/>
      <c r="Q30" s="156">
        <f t="shared" si="18"/>
        <v>16.561999999999998</v>
      </c>
      <c r="R30" s="69">
        <f t="shared" si="2"/>
        <v>16.561999999999998</v>
      </c>
      <c r="S30" s="159"/>
      <c r="T30" s="80">
        <f t="shared" si="36"/>
        <v>-13.858000000000004</v>
      </c>
    </row>
    <row r="31" spans="1:25" s="106" customFormat="1" ht="15.5" customHeight="1">
      <c r="A31" s="100"/>
      <c r="B31" s="107" t="s">
        <v>57</v>
      </c>
      <c r="C31" s="108"/>
      <c r="D31" s="98"/>
      <c r="E31" s="101"/>
      <c r="F31" s="101"/>
      <c r="G31" s="97">
        <f>SUM(G32:G33)</f>
        <v>9.9740000000000002</v>
      </c>
      <c r="H31" s="98"/>
      <c r="I31" s="143"/>
      <c r="J31" s="97">
        <f>SUM(J32:J33)</f>
        <v>10.165000000000001</v>
      </c>
      <c r="K31" s="98"/>
      <c r="L31" s="98"/>
      <c r="M31" s="97">
        <f>SUM(M32:M33)</f>
        <v>43.55</v>
      </c>
      <c r="N31" s="102"/>
      <c r="O31" s="103"/>
      <c r="P31" s="104"/>
      <c r="Q31" s="97">
        <f>SUBTOTAL(9,Q32:Q33)</f>
        <v>21.119</v>
      </c>
      <c r="R31" s="97">
        <f t="shared" si="2"/>
        <v>21.119</v>
      </c>
      <c r="S31" s="105"/>
      <c r="T31" s="121">
        <f t="shared" ref="T31:T33" si="42">Q31-M31</f>
        <v>-22.430999999999997</v>
      </c>
    </row>
    <row r="32" spans="1:25" s="40" customFormat="1" ht="15.5" customHeight="1">
      <c r="A32" s="153">
        <v>1</v>
      </c>
      <c r="B32" s="160" t="s">
        <v>42</v>
      </c>
      <c r="C32" s="161">
        <f>98</f>
        <v>98</v>
      </c>
      <c r="D32" s="45">
        <v>1</v>
      </c>
      <c r="E32" s="155">
        <v>150</v>
      </c>
      <c r="F32" s="155">
        <v>7</v>
      </c>
      <c r="G32" s="156">
        <f>(C32*D32*F32)/1000</f>
        <v>0.68600000000000005</v>
      </c>
      <c r="H32" s="155">
        <v>5</v>
      </c>
      <c r="I32" s="157">
        <v>1</v>
      </c>
      <c r="J32" s="156">
        <f t="shared" ref="J32:J33" si="43">(H32*D32*C32*I32)/1000</f>
        <v>0.49</v>
      </c>
      <c r="K32" s="155">
        <v>10</v>
      </c>
      <c r="L32" s="157">
        <v>1</v>
      </c>
      <c r="M32" s="158">
        <f t="shared" ref="M32" si="44">(C32*K32*D32*L32)/1000</f>
        <v>0.98</v>
      </c>
      <c r="N32" s="156"/>
      <c r="O32" s="157"/>
      <c r="P32" s="158"/>
      <c r="Q32" s="156">
        <f t="shared" ref="Q32" si="45">J32+G32+M32+P32</f>
        <v>2.1560000000000001</v>
      </c>
      <c r="R32" s="69">
        <f t="shared" si="2"/>
        <v>2.1560000000000001</v>
      </c>
      <c r="S32" s="159"/>
      <c r="T32" s="80">
        <f t="shared" si="42"/>
        <v>1.1760000000000002</v>
      </c>
    </row>
    <row r="33" spans="1:24" s="40" customFormat="1" ht="15.75" customHeight="1">
      <c r="A33" s="153">
        <v>2</v>
      </c>
      <c r="B33" s="160" t="s">
        <v>43</v>
      </c>
      <c r="C33" s="161">
        <f>387</f>
        <v>387</v>
      </c>
      <c r="D33" s="45">
        <v>1</v>
      </c>
      <c r="E33" s="155">
        <v>500</v>
      </c>
      <c r="F33" s="155">
        <v>24</v>
      </c>
      <c r="G33" s="156">
        <f t="shared" ref="G33" si="46">(C33*D33*F33)/1000</f>
        <v>9.2880000000000003</v>
      </c>
      <c r="H33" s="155">
        <v>25</v>
      </c>
      <c r="I33" s="157">
        <v>1</v>
      </c>
      <c r="J33" s="156">
        <f t="shared" si="43"/>
        <v>9.6750000000000007</v>
      </c>
      <c r="K33" s="155">
        <v>110</v>
      </c>
      <c r="L33" s="157">
        <v>1</v>
      </c>
      <c r="M33" s="158">
        <f>(C33*K33*D33*L33)/1000</f>
        <v>42.57</v>
      </c>
      <c r="N33" s="156"/>
      <c r="O33" s="157"/>
      <c r="P33" s="158"/>
      <c r="Q33" s="156">
        <f t="shared" si="18"/>
        <v>18.963000000000001</v>
      </c>
      <c r="R33" s="69">
        <f t="shared" si="2"/>
        <v>18.963000000000001</v>
      </c>
      <c r="S33" s="159"/>
      <c r="T33" s="80">
        <f t="shared" si="42"/>
        <v>-23.606999999999999</v>
      </c>
    </row>
    <row r="34" spans="1:24" s="106" customFormat="1" ht="15.75" customHeight="1">
      <c r="A34" s="100"/>
      <c r="B34" s="122" t="s">
        <v>58</v>
      </c>
      <c r="C34" s="108"/>
      <c r="D34" s="98"/>
      <c r="E34" s="101"/>
      <c r="F34" s="101"/>
      <c r="G34" s="97">
        <f>SUM(G35:G36)</f>
        <v>5.6070000000000002</v>
      </c>
      <c r="H34" s="98"/>
      <c r="I34" s="143"/>
      <c r="J34" s="97">
        <f>SUM(J35:J36)</f>
        <v>8.73</v>
      </c>
      <c r="K34" s="98"/>
      <c r="L34" s="98"/>
      <c r="M34" s="97">
        <f>SUM(M35:M36)</f>
        <v>30.060000000000002</v>
      </c>
      <c r="N34" s="102"/>
      <c r="O34" s="103"/>
      <c r="P34" s="104"/>
      <c r="Q34" s="97">
        <f>SUBTOTAL(9,Q35:Q36)</f>
        <v>16.047000000000001</v>
      </c>
      <c r="R34" s="97">
        <f t="shared" si="2"/>
        <v>16.047000000000001</v>
      </c>
      <c r="S34" s="105"/>
      <c r="T34" s="120"/>
    </row>
    <row r="35" spans="1:24" s="40" customFormat="1" ht="15.5" customHeight="1">
      <c r="A35" s="153">
        <v>1</v>
      </c>
      <c r="B35" s="160" t="s">
        <v>42</v>
      </c>
      <c r="C35" s="161">
        <f>98+73</f>
        <v>171</v>
      </c>
      <c r="D35" s="45">
        <v>1</v>
      </c>
      <c r="E35" s="155">
        <v>150</v>
      </c>
      <c r="F35" s="155">
        <v>7</v>
      </c>
      <c r="G35" s="156">
        <f>(C35*D35*F35)/1000</f>
        <v>1.1970000000000001</v>
      </c>
      <c r="H35" s="155">
        <v>5</v>
      </c>
      <c r="I35" s="157">
        <v>1</v>
      </c>
      <c r="J35" s="156">
        <f t="shared" ref="J35:J36" si="47">(H35*D35*C35*I35)/1000</f>
        <v>0.85499999999999998</v>
      </c>
      <c r="K35" s="155">
        <v>10</v>
      </c>
      <c r="L35" s="157">
        <v>1</v>
      </c>
      <c r="M35" s="158">
        <f t="shared" ref="M35" si="48">(C35*K35*D35*L35)/1000</f>
        <v>1.71</v>
      </c>
      <c r="N35" s="156"/>
      <c r="O35" s="157"/>
      <c r="P35" s="158"/>
      <c r="Q35" s="156">
        <f t="shared" ref="Q35" si="49">J35+G35+M35+P35</f>
        <v>3.762</v>
      </c>
      <c r="R35" s="69">
        <f t="shared" si="2"/>
        <v>3.762</v>
      </c>
      <c r="S35" s="159"/>
      <c r="T35" s="80">
        <f t="shared" ref="T35:T39" si="50">Q35-M35</f>
        <v>2.052</v>
      </c>
    </row>
    <row r="36" spans="1:24" s="40" customFormat="1" ht="15.75" customHeight="1">
      <c r="A36" s="153">
        <v>2</v>
      </c>
      <c r="B36" s="160" t="s">
        <v>59</v>
      </c>
      <c r="C36" s="161">
        <f>387-72</f>
        <v>315</v>
      </c>
      <c r="D36" s="45">
        <v>1</v>
      </c>
      <c r="E36" s="155">
        <v>500</v>
      </c>
      <c r="F36" s="155">
        <v>14</v>
      </c>
      <c r="G36" s="156">
        <f t="shared" ref="G36" si="51">(C36*D36*F36)/1000</f>
        <v>4.41</v>
      </c>
      <c r="H36" s="155">
        <v>25</v>
      </c>
      <c r="I36" s="157">
        <v>1</v>
      </c>
      <c r="J36" s="156">
        <f t="shared" si="47"/>
        <v>7.875</v>
      </c>
      <c r="K36" s="155">
        <v>90</v>
      </c>
      <c r="L36" s="157">
        <v>1</v>
      </c>
      <c r="M36" s="158">
        <f>(C36*K36*D36*L36)/1000</f>
        <v>28.35</v>
      </c>
      <c r="N36" s="156"/>
      <c r="O36" s="157"/>
      <c r="P36" s="158"/>
      <c r="Q36" s="156">
        <f t="shared" ref="Q36" si="52">J36+G36+P36</f>
        <v>12.285</v>
      </c>
      <c r="R36" s="69">
        <f t="shared" si="2"/>
        <v>12.285</v>
      </c>
      <c r="S36" s="159"/>
      <c r="T36" s="80">
        <f t="shared" si="50"/>
        <v>-16.065000000000001</v>
      </c>
    </row>
    <row r="37" spans="1:24" s="106" customFormat="1" ht="15.5" customHeight="1">
      <c r="A37" s="100"/>
      <c r="B37" s="107" t="s">
        <v>60</v>
      </c>
      <c r="C37" s="108"/>
      <c r="D37" s="98"/>
      <c r="E37" s="101"/>
      <c r="F37" s="101"/>
      <c r="G37" s="97">
        <f>SUM(G38:G39)</f>
        <v>9.9740000000000002</v>
      </c>
      <c r="H37" s="98"/>
      <c r="I37" s="143"/>
      <c r="J37" s="97">
        <f>SUM(J38:J39)</f>
        <v>10.165000000000001</v>
      </c>
      <c r="K37" s="98"/>
      <c r="L37" s="98"/>
      <c r="M37" s="97">
        <f>SUM(M38:M39)</f>
        <v>43.55</v>
      </c>
      <c r="N37" s="102"/>
      <c r="O37" s="103"/>
      <c r="P37" s="104"/>
      <c r="Q37" s="97">
        <f>SUBTOTAL(9,Q38:Q39)</f>
        <v>21.119</v>
      </c>
      <c r="R37" s="97">
        <f t="shared" ref="R37:R39" si="53">Q37</f>
        <v>21.119</v>
      </c>
      <c r="S37" s="105"/>
      <c r="T37" s="121">
        <f t="shared" si="50"/>
        <v>-22.430999999999997</v>
      </c>
    </row>
    <row r="38" spans="1:24" s="40" customFormat="1" ht="15.5" customHeight="1">
      <c r="A38" s="153">
        <v>1</v>
      </c>
      <c r="B38" s="160" t="s">
        <v>42</v>
      </c>
      <c r="C38" s="161">
        <f>98</f>
        <v>98</v>
      </c>
      <c r="D38" s="45">
        <v>1</v>
      </c>
      <c r="E38" s="155">
        <v>150</v>
      </c>
      <c r="F38" s="155">
        <v>7</v>
      </c>
      <c r="G38" s="156">
        <f>(C38*D38*F38)/1000</f>
        <v>0.68600000000000005</v>
      </c>
      <c r="H38" s="155">
        <v>5</v>
      </c>
      <c r="I38" s="157">
        <v>1</v>
      </c>
      <c r="J38" s="156">
        <f t="shared" ref="J38:J39" si="54">(H38*D38*C38*I38)/1000</f>
        <v>0.49</v>
      </c>
      <c r="K38" s="155">
        <v>10</v>
      </c>
      <c r="L38" s="157">
        <v>1</v>
      </c>
      <c r="M38" s="158">
        <f t="shared" ref="M38" si="55">(C38*K38*D38*L38)/1000</f>
        <v>0.98</v>
      </c>
      <c r="N38" s="156"/>
      <c r="O38" s="157"/>
      <c r="P38" s="158"/>
      <c r="Q38" s="156">
        <f t="shared" ref="Q38" si="56">J38+G38+M38+P38</f>
        <v>2.1560000000000001</v>
      </c>
      <c r="R38" s="69">
        <f t="shared" si="53"/>
        <v>2.1560000000000001</v>
      </c>
      <c r="S38" s="159"/>
      <c r="T38" s="80">
        <f t="shared" si="50"/>
        <v>1.1760000000000002</v>
      </c>
    </row>
    <row r="39" spans="1:24" s="40" customFormat="1" ht="15.75" customHeight="1">
      <c r="A39" s="153">
        <v>2</v>
      </c>
      <c r="B39" s="160" t="s">
        <v>43</v>
      </c>
      <c r="C39" s="161">
        <f>387</f>
        <v>387</v>
      </c>
      <c r="D39" s="45">
        <v>1</v>
      </c>
      <c r="E39" s="155">
        <v>500</v>
      </c>
      <c r="F39" s="155">
        <v>24</v>
      </c>
      <c r="G39" s="156">
        <f t="shared" ref="G39" si="57">(C39*D39*F39)/1000</f>
        <v>9.2880000000000003</v>
      </c>
      <c r="H39" s="155">
        <v>25</v>
      </c>
      <c r="I39" s="157">
        <v>1</v>
      </c>
      <c r="J39" s="156">
        <f t="shared" si="54"/>
        <v>9.6750000000000007</v>
      </c>
      <c r="K39" s="155">
        <v>110</v>
      </c>
      <c r="L39" s="157">
        <v>1</v>
      </c>
      <c r="M39" s="158">
        <f>(C39*K39*D39*L39)/1000</f>
        <v>42.57</v>
      </c>
      <c r="N39" s="156"/>
      <c r="O39" s="157"/>
      <c r="P39" s="158"/>
      <c r="Q39" s="156">
        <f t="shared" ref="Q39" si="58">J39+G39+P39</f>
        <v>18.963000000000001</v>
      </c>
      <c r="R39" s="69">
        <f t="shared" si="53"/>
        <v>18.963000000000001</v>
      </c>
      <c r="S39" s="159"/>
      <c r="T39" s="80">
        <f t="shared" si="50"/>
        <v>-23.606999999999999</v>
      </c>
    </row>
    <row r="40" spans="1:24" s="106" customFormat="1" ht="15.75" customHeight="1">
      <c r="A40" s="100"/>
      <c r="B40" s="122" t="s">
        <v>70</v>
      </c>
      <c r="C40" s="108"/>
      <c r="D40" s="98"/>
      <c r="E40" s="101"/>
      <c r="F40" s="101"/>
      <c r="G40" s="97">
        <f>SUM(G41:G44)</f>
        <v>9.3179999999999996</v>
      </c>
      <c r="H40" s="98"/>
      <c r="I40" s="143"/>
      <c r="J40" s="97">
        <f>SUM(J41:J44)</f>
        <v>10.164999999999999</v>
      </c>
      <c r="K40" s="98"/>
      <c r="L40" s="98"/>
      <c r="M40" s="97">
        <f>SUM(M41:M44)</f>
        <v>31.856999999999999</v>
      </c>
      <c r="N40" s="102"/>
      <c r="O40" s="103"/>
      <c r="P40" s="104"/>
      <c r="Q40" s="97">
        <f>SUBTOTAL(9,Q41:Q45)</f>
        <v>32.838000000000001</v>
      </c>
      <c r="R40" s="97">
        <f t="shared" si="2"/>
        <v>32.838000000000001</v>
      </c>
      <c r="S40" s="105"/>
      <c r="T40" s="120"/>
    </row>
    <row r="41" spans="1:24" s="40" customFormat="1" ht="15.5" customHeight="1">
      <c r="A41" s="153">
        <v>1</v>
      </c>
      <c r="B41" s="160" t="s">
        <v>42</v>
      </c>
      <c r="C41" s="161">
        <f>98</f>
        <v>98</v>
      </c>
      <c r="D41" s="45">
        <v>1</v>
      </c>
      <c r="E41" s="155">
        <v>150</v>
      </c>
      <c r="F41" s="155">
        <v>7</v>
      </c>
      <c r="G41" s="156">
        <f>(C41*D41*F41)/1000</f>
        <v>0.68600000000000005</v>
      </c>
      <c r="H41" s="155">
        <v>5</v>
      </c>
      <c r="I41" s="157">
        <v>1</v>
      </c>
      <c r="J41" s="156">
        <f t="shared" ref="J41:J42" si="59">(H41*D41*C41*I41)/1000</f>
        <v>0.49</v>
      </c>
      <c r="K41" s="155">
        <v>10</v>
      </c>
      <c r="L41" s="157">
        <v>1</v>
      </c>
      <c r="M41" s="158">
        <f t="shared" ref="M41" si="60">(C41*K41*D41*L41)/1000</f>
        <v>0.98</v>
      </c>
      <c r="N41" s="156"/>
      <c r="O41" s="157"/>
      <c r="P41" s="158"/>
      <c r="Q41" s="156">
        <f t="shared" ref="Q41" si="61">J41+G41+M41+P41</f>
        <v>2.1560000000000001</v>
      </c>
      <c r="R41" s="69">
        <f t="shared" si="2"/>
        <v>2.1560000000000001</v>
      </c>
      <c r="S41" s="159"/>
      <c r="T41" s="80">
        <f t="shared" ref="T41:T42" si="62">Q41-M41</f>
        <v>1.1760000000000002</v>
      </c>
    </row>
    <row r="42" spans="1:24" s="40" customFormat="1" ht="15.75" customHeight="1">
      <c r="A42" s="153">
        <v>2</v>
      </c>
      <c r="B42" s="160" t="s">
        <v>61</v>
      </c>
      <c r="C42" s="161">
        <f>387-C43</f>
        <v>328</v>
      </c>
      <c r="D42" s="45">
        <v>1</v>
      </c>
      <c r="E42" s="155">
        <v>500</v>
      </c>
      <c r="F42" s="155">
        <v>22</v>
      </c>
      <c r="G42" s="156">
        <f t="shared" ref="G42:G43" si="63">(C42*D42*F42)/1000</f>
        <v>7.2160000000000002</v>
      </c>
      <c r="H42" s="155">
        <v>25</v>
      </c>
      <c r="I42" s="157">
        <v>1</v>
      </c>
      <c r="J42" s="156">
        <f t="shared" si="59"/>
        <v>8.1999999999999993</v>
      </c>
      <c r="K42" s="155">
        <v>90</v>
      </c>
      <c r="L42" s="157">
        <v>1</v>
      </c>
      <c r="M42" s="158">
        <f>(C42*K42*D42*L42)/1000</f>
        <v>29.52</v>
      </c>
      <c r="N42" s="156"/>
      <c r="O42" s="157"/>
      <c r="P42" s="158"/>
      <c r="Q42" s="156">
        <f t="shared" ref="Q42" si="64">J42+G42+P42</f>
        <v>15.416</v>
      </c>
      <c r="R42" s="69">
        <f t="shared" si="2"/>
        <v>15.416</v>
      </c>
      <c r="S42" s="159"/>
      <c r="T42" s="80">
        <f t="shared" si="62"/>
        <v>-14.103999999999999</v>
      </c>
      <c r="X42" s="40">
        <f>7*680</f>
        <v>4760</v>
      </c>
    </row>
    <row r="43" spans="1:24" s="40" customFormat="1" ht="15.75" customHeight="1">
      <c r="A43" s="153"/>
      <c r="B43" s="160" t="s">
        <v>62</v>
      </c>
      <c r="C43" s="161">
        <v>59</v>
      </c>
      <c r="D43" s="45">
        <v>1</v>
      </c>
      <c r="E43" s="155">
        <v>500</v>
      </c>
      <c r="F43" s="155">
        <v>24</v>
      </c>
      <c r="G43" s="156">
        <f t="shared" si="63"/>
        <v>1.4159999999999999</v>
      </c>
      <c r="H43" s="155">
        <v>25</v>
      </c>
      <c r="I43" s="157">
        <v>1</v>
      </c>
      <c r="J43" s="156">
        <f t="shared" ref="J43" si="65">(H43*D43*C43*I43)/1000</f>
        <v>1.4750000000000001</v>
      </c>
      <c r="K43" s="155">
        <v>23</v>
      </c>
      <c r="L43" s="157">
        <v>1</v>
      </c>
      <c r="M43" s="158">
        <f>(C43*K43*D43*L43)/1000</f>
        <v>1.357</v>
      </c>
      <c r="N43" s="156"/>
      <c r="O43" s="157"/>
      <c r="P43" s="158"/>
      <c r="Q43" s="156">
        <f t="shared" ref="Q43:Q44" si="66">J43+G43+P43</f>
        <v>2.891</v>
      </c>
      <c r="R43" s="69">
        <f t="shared" si="2"/>
        <v>2.891</v>
      </c>
      <c r="S43" s="159"/>
      <c r="T43" s="80"/>
      <c r="X43" s="40">
        <f>5*680</f>
        <v>3400</v>
      </c>
    </row>
    <row r="44" spans="1:24" s="40" customFormat="1" ht="15.75" customHeight="1">
      <c r="A44" s="153"/>
      <c r="B44" s="160" t="s">
        <v>64</v>
      </c>
      <c r="C44" s="161"/>
      <c r="D44" s="45">
        <v>1</v>
      </c>
      <c r="E44" s="155"/>
      <c r="F44" s="155"/>
      <c r="G44" s="156"/>
      <c r="H44" s="155"/>
      <c r="I44" s="157"/>
      <c r="J44" s="156"/>
      <c r="K44" s="155"/>
      <c r="L44" s="157"/>
      <c r="M44" s="158"/>
      <c r="N44" s="156">
        <v>3</v>
      </c>
      <c r="O44" s="157">
        <v>1</v>
      </c>
      <c r="P44" s="4">
        <f t="shared" ref="P44:P45" si="67">N44*D44*O44</f>
        <v>3</v>
      </c>
      <c r="Q44" s="156">
        <f t="shared" si="66"/>
        <v>3</v>
      </c>
      <c r="R44" s="69">
        <f t="shared" si="2"/>
        <v>3</v>
      </c>
      <c r="S44" s="159"/>
      <c r="T44" s="80"/>
    </row>
    <row r="45" spans="1:24" s="40" customFormat="1" ht="15.75" customHeight="1">
      <c r="A45" s="153"/>
      <c r="B45" s="160" t="s">
        <v>65</v>
      </c>
      <c r="C45" s="161"/>
      <c r="D45" s="45">
        <v>1</v>
      </c>
      <c r="E45" s="155"/>
      <c r="F45" s="155"/>
      <c r="G45" s="156"/>
      <c r="H45" s="155"/>
      <c r="I45" s="157"/>
      <c r="J45" s="156"/>
      <c r="K45" s="155"/>
      <c r="L45" s="157"/>
      <c r="M45" s="158"/>
      <c r="N45" s="156">
        <f>10/0.8*0.75</f>
        <v>9.375</v>
      </c>
      <c r="O45" s="157">
        <v>1</v>
      </c>
      <c r="P45" s="4">
        <f t="shared" si="67"/>
        <v>9.375</v>
      </c>
      <c r="Q45" s="156">
        <f t="shared" ref="Q45" si="68">J45+G45+P45</f>
        <v>9.375</v>
      </c>
      <c r="R45" s="69">
        <f t="shared" si="2"/>
        <v>9.375</v>
      </c>
      <c r="S45" s="159"/>
      <c r="T45" s="80"/>
    </row>
    <row r="46" spans="1:24" s="106" customFormat="1" ht="15.5" customHeight="1">
      <c r="A46" s="100"/>
      <c r="B46" s="107" t="s">
        <v>20</v>
      </c>
      <c r="C46" s="109"/>
      <c r="D46" s="98"/>
      <c r="E46" s="101"/>
      <c r="F46" s="101"/>
      <c r="G46" s="97">
        <f>SUM(G47:G50)</f>
        <v>0.80500000000000005</v>
      </c>
      <c r="H46" s="98"/>
      <c r="I46" s="143"/>
      <c r="J46" s="97">
        <f>SUM(J47:J50)</f>
        <v>0.57499999999999996</v>
      </c>
      <c r="K46" s="98"/>
      <c r="L46" s="98"/>
      <c r="M46" s="97">
        <f>SUM(M47)</f>
        <v>1.1499999999999999</v>
      </c>
      <c r="N46" s="102"/>
      <c r="O46" s="103"/>
      <c r="P46" s="104"/>
      <c r="Q46" s="97">
        <f>SUBTOTAL(9,Q47:Q47)</f>
        <v>2.5299999999999998</v>
      </c>
      <c r="R46" s="97">
        <f t="shared" si="2"/>
        <v>2.5299999999999998</v>
      </c>
      <c r="S46" s="105"/>
      <c r="T46" s="121">
        <f t="shared" si="3"/>
        <v>1.38</v>
      </c>
    </row>
    <row r="47" spans="1:24" s="40" customFormat="1" ht="15.5" customHeight="1">
      <c r="A47" s="153">
        <v>1</v>
      </c>
      <c r="B47" s="160" t="s">
        <v>42</v>
      </c>
      <c r="C47" s="161">
        <v>115</v>
      </c>
      <c r="D47" s="45">
        <v>1</v>
      </c>
      <c r="E47" s="155">
        <v>150</v>
      </c>
      <c r="F47" s="155">
        <v>7</v>
      </c>
      <c r="G47" s="156">
        <f t="shared" si="16"/>
        <v>0.80500000000000005</v>
      </c>
      <c r="H47" s="155">
        <v>5</v>
      </c>
      <c r="I47" s="157">
        <v>1</v>
      </c>
      <c r="J47" s="156">
        <f t="shared" si="13"/>
        <v>0.57499999999999996</v>
      </c>
      <c r="K47" s="155">
        <v>10</v>
      </c>
      <c r="L47" s="157">
        <v>1</v>
      </c>
      <c r="M47" s="158">
        <f t="shared" si="14"/>
        <v>1.1499999999999999</v>
      </c>
      <c r="N47" s="156"/>
      <c r="O47" s="157"/>
      <c r="P47" s="158"/>
      <c r="Q47" s="156">
        <f t="shared" ref="Q47" si="69">J47+G47+M47+P47</f>
        <v>2.5299999999999998</v>
      </c>
      <c r="R47" s="69">
        <f t="shared" si="2"/>
        <v>2.5299999999999998</v>
      </c>
      <c r="S47" s="159"/>
      <c r="T47" s="80">
        <f t="shared" si="3"/>
        <v>1.38</v>
      </c>
    </row>
    <row r="48" spans="1:24" s="141" customFormat="1" ht="15.5" customHeight="1">
      <c r="A48" s="132"/>
      <c r="B48" s="133" t="s">
        <v>53</v>
      </c>
      <c r="C48" s="134"/>
      <c r="D48" s="134">
        <v>1</v>
      </c>
      <c r="E48" s="135"/>
      <c r="F48" s="135"/>
      <c r="G48" s="136"/>
      <c r="H48" s="135"/>
      <c r="I48" s="137"/>
      <c r="J48" s="136"/>
      <c r="K48" s="135"/>
      <c r="L48" s="137"/>
      <c r="M48" s="138">
        <f>M14+M17+M20+M21+M25+M26+M30*5+M33*3+M36+M42+M43+M39</f>
        <v>507.56700000000012</v>
      </c>
      <c r="N48" s="135">
        <v>1</v>
      </c>
      <c r="O48" s="137"/>
      <c r="P48" s="135"/>
      <c r="Q48" s="139">
        <f>M48</f>
        <v>507.56700000000012</v>
      </c>
      <c r="R48" s="97">
        <f t="shared" si="2"/>
        <v>507.56700000000012</v>
      </c>
      <c r="S48" s="140"/>
      <c r="V48" s="106"/>
    </row>
    <row r="49" spans="1:25" s="117" customFormat="1" ht="15.5" customHeight="1">
      <c r="A49" s="110"/>
      <c r="B49" s="144" t="s">
        <v>71</v>
      </c>
      <c r="C49" s="145"/>
      <c r="D49" s="146">
        <v>1</v>
      </c>
      <c r="E49" s="146"/>
      <c r="F49" s="146"/>
      <c r="G49" s="139"/>
      <c r="H49" s="146"/>
      <c r="I49" s="147"/>
      <c r="J49" s="139"/>
      <c r="K49" s="146"/>
      <c r="L49" s="147"/>
      <c r="M49" s="139">
        <f>M9</f>
        <v>14.26</v>
      </c>
      <c r="N49" s="146"/>
      <c r="O49" s="148"/>
      <c r="P49" s="148"/>
      <c r="Q49" s="139">
        <f>M49</f>
        <v>14.26</v>
      </c>
      <c r="R49" s="97">
        <f t="shared" ref="R49" si="70">Q49</f>
        <v>14.26</v>
      </c>
      <c r="S49" s="150"/>
      <c r="T49" s="121"/>
      <c r="V49" s="99"/>
    </row>
    <row r="50" spans="1:25" s="117" customFormat="1" ht="15.5" customHeight="1">
      <c r="A50" s="110">
        <v>2</v>
      </c>
      <c r="B50" s="144" t="s">
        <v>21</v>
      </c>
      <c r="C50" s="145"/>
      <c r="D50" s="146"/>
      <c r="E50" s="146"/>
      <c r="F50" s="146"/>
      <c r="G50" s="139"/>
      <c r="H50" s="146"/>
      <c r="I50" s="147"/>
      <c r="J50" s="139"/>
      <c r="K50" s="146"/>
      <c r="L50" s="147"/>
      <c r="M50" s="146"/>
      <c r="N50" s="146"/>
      <c r="O50" s="148"/>
      <c r="P50" s="149"/>
      <c r="Q50" s="97">
        <f>SUBTOTAL(9,Q51:Q57)</f>
        <v>86</v>
      </c>
      <c r="R50" s="97">
        <f t="shared" si="2"/>
        <v>86</v>
      </c>
      <c r="S50" s="150"/>
      <c r="T50" s="121">
        <f t="shared" si="3"/>
        <v>86</v>
      </c>
      <c r="V50" s="99"/>
    </row>
    <row r="51" spans="1:25" s="151" customFormat="1" ht="15.5" customHeight="1">
      <c r="A51" s="8">
        <v>1</v>
      </c>
      <c r="B51" s="2" t="s">
        <v>22</v>
      </c>
      <c r="C51" s="3"/>
      <c r="D51" s="3">
        <v>3</v>
      </c>
      <c r="E51" s="4"/>
      <c r="F51" s="4"/>
      <c r="G51" s="5"/>
      <c r="H51" s="4"/>
      <c r="I51" s="6"/>
      <c r="J51" s="5"/>
      <c r="K51" s="4"/>
      <c r="L51" s="6"/>
      <c r="M51" s="5"/>
      <c r="N51" s="4">
        <v>12</v>
      </c>
      <c r="O51" s="6">
        <v>1</v>
      </c>
      <c r="P51" s="4">
        <f t="shared" ref="P51:P54" si="71">N51*D51*O51</f>
        <v>36</v>
      </c>
      <c r="Q51" s="5">
        <f t="shared" ref="Q51:Q54" si="72">J51+G51+M51+P51</f>
        <v>36</v>
      </c>
      <c r="R51" s="69">
        <f t="shared" si="2"/>
        <v>36</v>
      </c>
      <c r="S51" s="7"/>
      <c r="T51" s="80">
        <f t="shared" si="3"/>
        <v>36</v>
      </c>
      <c r="V51" s="40"/>
    </row>
    <row r="52" spans="1:25" s="151" customFormat="1" ht="18" customHeight="1">
      <c r="A52" s="8">
        <v>2</v>
      </c>
      <c r="B52" s="2" t="s">
        <v>23</v>
      </c>
      <c r="C52" s="3"/>
      <c r="D52" s="3">
        <v>1</v>
      </c>
      <c r="E52" s="4"/>
      <c r="F52" s="4"/>
      <c r="G52" s="5"/>
      <c r="H52" s="4"/>
      <c r="I52" s="6"/>
      <c r="J52" s="5"/>
      <c r="K52" s="4"/>
      <c r="L52" s="6"/>
      <c r="M52" s="4"/>
      <c r="N52" s="4">
        <v>5</v>
      </c>
      <c r="O52" s="6">
        <v>1</v>
      </c>
      <c r="P52" s="4">
        <f t="shared" si="71"/>
        <v>5</v>
      </c>
      <c r="Q52" s="5">
        <f t="shared" si="72"/>
        <v>5</v>
      </c>
      <c r="R52" s="69">
        <f t="shared" si="2"/>
        <v>5</v>
      </c>
      <c r="S52" s="7"/>
      <c r="T52" s="80">
        <f t="shared" si="3"/>
        <v>5</v>
      </c>
      <c r="V52" s="40"/>
    </row>
    <row r="53" spans="1:25" s="152" customFormat="1" ht="27" customHeight="1">
      <c r="A53" s="8">
        <v>3</v>
      </c>
      <c r="B53" s="2" t="s">
        <v>24</v>
      </c>
      <c r="C53" s="3"/>
      <c r="D53" s="3">
        <v>1</v>
      </c>
      <c r="E53" s="4"/>
      <c r="F53" s="4"/>
      <c r="G53" s="5"/>
      <c r="H53" s="4"/>
      <c r="I53" s="6"/>
      <c r="J53" s="5"/>
      <c r="K53" s="4"/>
      <c r="L53" s="6"/>
      <c r="M53" s="4"/>
      <c r="N53" s="4">
        <v>5</v>
      </c>
      <c r="O53" s="6">
        <v>1</v>
      </c>
      <c r="P53" s="4">
        <f t="shared" si="71"/>
        <v>5</v>
      </c>
      <c r="Q53" s="5">
        <f t="shared" si="72"/>
        <v>5</v>
      </c>
      <c r="R53" s="69">
        <f t="shared" si="2"/>
        <v>5</v>
      </c>
      <c r="S53" s="7"/>
      <c r="T53" s="80">
        <f t="shared" si="3"/>
        <v>5</v>
      </c>
      <c r="V53" s="40"/>
      <c r="Y53" s="152">
        <f>630</f>
        <v>630</v>
      </c>
    </row>
    <row r="54" spans="1:25" s="9" customFormat="1" ht="15.5">
      <c r="A54" s="8">
        <v>4</v>
      </c>
      <c r="B54" s="2" t="s">
        <v>25</v>
      </c>
      <c r="C54" s="3"/>
      <c r="D54" s="3">
        <v>1</v>
      </c>
      <c r="E54" s="4"/>
      <c r="F54" s="4"/>
      <c r="G54" s="5"/>
      <c r="H54" s="4"/>
      <c r="I54" s="6"/>
      <c r="J54" s="5"/>
      <c r="K54" s="4"/>
      <c r="L54" s="6"/>
      <c r="M54" s="4"/>
      <c r="N54" s="4">
        <v>20</v>
      </c>
      <c r="O54" s="6">
        <v>1</v>
      </c>
      <c r="P54" s="4">
        <f t="shared" si="71"/>
        <v>20</v>
      </c>
      <c r="Q54" s="5">
        <f t="shared" si="72"/>
        <v>20</v>
      </c>
      <c r="R54" s="69">
        <f t="shared" si="2"/>
        <v>20</v>
      </c>
      <c r="S54" s="7"/>
      <c r="T54" s="80">
        <f t="shared" si="3"/>
        <v>20</v>
      </c>
      <c r="V54" s="40"/>
    </row>
    <row r="55" spans="1:25" s="9" customFormat="1" ht="15.5">
      <c r="A55" s="8">
        <v>5</v>
      </c>
      <c r="B55" s="2" t="s">
        <v>26</v>
      </c>
      <c r="C55" s="3"/>
      <c r="D55" s="3">
        <v>1</v>
      </c>
      <c r="E55" s="4"/>
      <c r="F55" s="4"/>
      <c r="G55" s="5"/>
      <c r="H55" s="4"/>
      <c r="I55" s="6"/>
      <c r="J55" s="5"/>
      <c r="K55" s="4"/>
      <c r="L55" s="6"/>
      <c r="M55" s="4"/>
      <c r="N55" s="4">
        <f>45/0.8</f>
        <v>56.25</v>
      </c>
      <c r="O55" s="6">
        <v>1</v>
      </c>
      <c r="P55" s="4">
        <f>N55*D55*O55</f>
        <v>56.25</v>
      </c>
      <c r="Q55" s="5">
        <v>0</v>
      </c>
      <c r="R55" s="69">
        <f t="shared" si="2"/>
        <v>0</v>
      </c>
      <c r="S55" s="7"/>
      <c r="T55" s="80">
        <f t="shared" si="3"/>
        <v>0</v>
      </c>
      <c r="V55" s="40"/>
    </row>
    <row r="56" spans="1:25" s="151" customFormat="1" ht="15.5" customHeight="1">
      <c r="A56" s="8">
        <v>6</v>
      </c>
      <c r="B56" s="2" t="s">
        <v>27</v>
      </c>
      <c r="C56" s="3"/>
      <c r="D56" s="3">
        <v>1</v>
      </c>
      <c r="E56" s="4"/>
      <c r="F56" s="4"/>
      <c r="G56" s="5"/>
      <c r="H56" s="4"/>
      <c r="I56" s="6"/>
      <c r="J56" s="5"/>
      <c r="K56" s="4"/>
      <c r="L56" s="6"/>
      <c r="M56" s="4"/>
      <c r="N56" s="4">
        <v>10</v>
      </c>
      <c r="O56" s="6">
        <v>1</v>
      </c>
      <c r="P56" s="4">
        <f>N56*D56*O56</f>
        <v>10</v>
      </c>
      <c r="Q56" s="5">
        <f>J56+G56+M56+P56</f>
        <v>10</v>
      </c>
      <c r="R56" s="69">
        <f t="shared" si="2"/>
        <v>10</v>
      </c>
      <c r="S56" s="7"/>
      <c r="V56" s="40"/>
    </row>
    <row r="57" spans="1:25" s="151" customFormat="1" ht="15.5" customHeight="1">
      <c r="A57" s="8"/>
      <c r="B57" s="163" t="s">
        <v>72</v>
      </c>
      <c r="C57" s="164"/>
      <c r="D57" s="164">
        <v>1</v>
      </c>
      <c r="E57" s="165"/>
      <c r="F57" s="165"/>
      <c r="G57" s="166"/>
      <c r="H57" s="165"/>
      <c r="I57" s="167"/>
      <c r="J57" s="166"/>
      <c r="K57" s="165"/>
      <c r="L57" s="167"/>
      <c r="M57" s="165"/>
      <c r="N57" s="165"/>
      <c r="O57" s="167"/>
      <c r="P57" s="165">
        <v>10</v>
      </c>
      <c r="Q57" s="5">
        <f>J57+G57+M57+P57</f>
        <v>10</v>
      </c>
      <c r="R57" s="69">
        <f t="shared" ref="R57" si="73">Q57</f>
        <v>10</v>
      </c>
      <c r="S57" s="168"/>
      <c r="V57" s="40"/>
    </row>
    <row r="58" spans="1:25" s="117" customFormat="1" ht="15.5" customHeight="1">
      <c r="A58" s="110"/>
      <c r="B58" s="111" t="s">
        <v>28</v>
      </c>
      <c r="C58" s="112"/>
      <c r="D58" s="113"/>
      <c r="E58" s="113"/>
      <c r="F58" s="113"/>
      <c r="G58" s="114"/>
      <c r="H58" s="113"/>
      <c r="I58" s="115"/>
      <c r="J58" s="114"/>
      <c r="K58" s="113"/>
      <c r="L58" s="115"/>
      <c r="M58" s="113"/>
      <c r="N58" s="113"/>
      <c r="O58" s="113"/>
      <c r="P58" s="113"/>
      <c r="Q58" s="38">
        <f>Q9+Q12+Q15+Q18+Q23+Q28*5+Q31*3+Q34+Q37+Q40+Q46+Q48+Q50+Q49</f>
        <v>1065.5640000000001</v>
      </c>
      <c r="R58" s="38">
        <f t="shared" si="2"/>
        <v>1065.5640000000001</v>
      </c>
      <c r="S58" s="116"/>
      <c r="T58" s="119">
        <f>Q58-R58</f>
        <v>0</v>
      </c>
      <c r="V58" s="99"/>
    </row>
    <row r="59" spans="1:25" s="1" customFormat="1" ht="15.5" customHeight="1">
      <c r="A59" s="11"/>
      <c r="B59" s="217" t="s">
        <v>29</v>
      </c>
      <c r="C59" s="218"/>
      <c r="D59" s="219"/>
      <c r="E59" s="12"/>
      <c r="F59" s="12"/>
      <c r="G59" s="13"/>
      <c r="H59" s="12"/>
      <c r="I59" s="14"/>
      <c r="J59" s="13"/>
      <c r="K59" s="12"/>
      <c r="L59" s="14"/>
      <c r="M59" s="12"/>
      <c r="N59" s="12"/>
      <c r="O59" s="12"/>
      <c r="P59" s="12"/>
      <c r="Q59" s="118">
        <v>0.6</v>
      </c>
      <c r="R59" s="118">
        <v>0.6</v>
      </c>
      <c r="S59" s="10"/>
      <c r="T59" s="1">
        <f>T58*0.8</f>
        <v>0</v>
      </c>
      <c r="V59" s="40"/>
    </row>
    <row r="60" spans="1:25" s="1" customFormat="1" ht="15.5" customHeight="1">
      <c r="A60" s="11"/>
      <c r="B60" s="220" t="s">
        <v>30</v>
      </c>
      <c r="C60" s="221"/>
      <c r="D60" s="222"/>
      <c r="E60" s="15"/>
      <c r="F60" s="15"/>
      <c r="G60" s="16"/>
      <c r="H60" s="15"/>
      <c r="I60" s="17"/>
      <c r="J60" s="16"/>
      <c r="K60" s="15"/>
      <c r="L60" s="17"/>
      <c r="M60" s="15"/>
      <c r="N60" s="15"/>
      <c r="O60" s="15"/>
      <c r="P60" s="15"/>
      <c r="Q60" s="142">
        <v>0.2</v>
      </c>
      <c r="R60" s="142">
        <v>0.2</v>
      </c>
      <c r="S60" s="18"/>
      <c r="T60" s="1">
        <f>T59/0.38/1.73</f>
        <v>0</v>
      </c>
      <c r="V60" s="40"/>
    </row>
    <row r="61" spans="1:25" s="1" customFormat="1" ht="15.5" customHeight="1" thickBot="1">
      <c r="A61" s="19"/>
      <c r="B61" s="223" t="s">
        <v>31</v>
      </c>
      <c r="C61" s="224"/>
      <c r="D61" s="225"/>
      <c r="E61" s="20"/>
      <c r="F61" s="20"/>
      <c r="G61" s="21"/>
      <c r="H61" s="20"/>
      <c r="I61" s="22"/>
      <c r="J61" s="21"/>
      <c r="K61" s="20"/>
      <c r="L61" s="22"/>
      <c r="M61" s="20"/>
      <c r="N61" s="20"/>
      <c r="O61" s="20"/>
      <c r="P61" s="20"/>
      <c r="Q61" s="23">
        <f>Q58*Q59*(1+Q60)</f>
        <v>767.20607999999993</v>
      </c>
      <c r="R61" s="23">
        <f>R58*R59*(1+R60)</f>
        <v>767.20607999999993</v>
      </c>
      <c r="S61" s="24"/>
      <c r="V61" s="40"/>
    </row>
    <row r="62" spans="1:25" s="42" customFormat="1" ht="15.5" customHeight="1" thickTop="1">
      <c r="A62" s="31"/>
      <c r="B62" s="49"/>
      <c r="C62" s="89"/>
      <c r="D62" s="49"/>
      <c r="E62" s="49"/>
      <c r="F62" s="47"/>
      <c r="G62" s="50"/>
      <c r="H62" s="47"/>
      <c r="I62" s="47"/>
      <c r="J62" s="50"/>
      <c r="K62" s="47"/>
      <c r="L62" s="47"/>
      <c r="M62" s="47"/>
      <c r="N62" s="47"/>
      <c r="O62" s="47"/>
      <c r="P62" s="47"/>
      <c r="Q62" s="125"/>
      <c r="R62" s="50"/>
      <c r="S62" s="47"/>
      <c r="V62" s="40"/>
    </row>
    <row r="63" spans="1:25" s="42" customFormat="1" ht="15.5" customHeight="1">
      <c r="A63" s="51"/>
      <c r="B63" s="52" t="s">
        <v>32</v>
      </c>
      <c r="C63" s="90"/>
      <c r="D63" s="53"/>
      <c r="E63" s="53"/>
      <c r="F63" s="53"/>
      <c r="G63" s="54"/>
      <c r="H63" s="53"/>
      <c r="I63" s="53"/>
      <c r="J63" s="54"/>
      <c r="K63" s="55"/>
      <c r="L63" s="55"/>
      <c r="M63" s="55"/>
      <c r="N63" s="55"/>
      <c r="O63" s="55"/>
      <c r="P63" s="55"/>
      <c r="Q63" s="126"/>
      <c r="R63" s="56"/>
      <c r="S63" s="57"/>
    </row>
    <row r="64" spans="1:25" s="42" customFormat="1" ht="15.5" customHeight="1">
      <c r="A64" s="25"/>
      <c r="B64" s="25" t="s">
        <v>66</v>
      </c>
      <c r="C64" s="91"/>
      <c r="D64" s="25"/>
      <c r="E64" s="25"/>
      <c r="F64" s="58"/>
      <c r="G64" s="59"/>
      <c r="H64" s="58"/>
      <c r="I64" s="58"/>
      <c r="J64" s="59"/>
      <c r="K64" s="60"/>
      <c r="L64" s="60"/>
      <c r="M64" s="60"/>
      <c r="N64" s="60"/>
      <c r="O64" s="60"/>
      <c r="P64" s="60"/>
      <c r="Q64" s="127"/>
      <c r="R64" s="61"/>
      <c r="S64" s="60"/>
      <c r="T64" s="40"/>
      <c r="U64" s="40"/>
    </row>
    <row r="65" spans="1:22" s="43" customFormat="1" ht="15.5" customHeight="1">
      <c r="A65" s="62" t="s">
        <v>37</v>
      </c>
      <c r="B65" s="62" t="s">
        <v>38</v>
      </c>
      <c r="C65" s="92"/>
      <c r="D65" s="62"/>
      <c r="E65" s="62"/>
      <c r="F65" s="41"/>
      <c r="G65" s="63"/>
      <c r="H65" s="41"/>
      <c r="I65" s="64"/>
      <c r="J65" s="63"/>
      <c r="K65" s="41"/>
      <c r="L65" s="64"/>
      <c r="M65" s="65"/>
      <c r="N65" s="41"/>
      <c r="O65" s="64"/>
      <c r="P65" s="65"/>
      <c r="Q65" s="128"/>
      <c r="R65" s="63"/>
      <c r="S65" s="41"/>
    </row>
    <row r="66" spans="1:22" s="43" customFormat="1" ht="15.5" customHeight="1">
      <c r="A66" s="44"/>
      <c r="B66" s="25" t="s">
        <v>67</v>
      </c>
      <c r="C66" s="88"/>
      <c r="D66" s="41"/>
      <c r="E66" s="41"/>
      <c r="F66" s="41"/>
      <c r="G66" s="63"/>
      <c r="H66" s="41"/>
      <c r="I66" s="64"/>
      <c r="J66" s="63"/>
      <c r="K66" s="41"/>
      <c r="L66" s="64"/>
      <c r="M66" s="65"/>
      <c r="N66" s="41"/>
      <c r="O66" s="64"/>
      <c r="P66" s="65"/>
      <c r="Q66" s="128"/>
      <c r="R66" s="63"/>
      <c r="S66" s="41"/>
    </row>
    <row r="67" spans="1:22" s="43" customFormat="1" ht="15.5" customHeight="1">
      <c r="A67" s="62" t="s">
        <v>33</v>
      </c>
      <c r="B67" s="62" t="s">
        <v>44</v>
      </c>
      <c r="C67" s="92"/>
      <c r="D67" s="66"/>
      <c r="E67" s="66"/>
      <c r="F67" s="66"/>
      <c r="G67" s="67"/>
      <c r="H67" s="66"/>
      <c r="I67" s="66"/>
      <c r="J67" s="67"/>
      <c r="K67" s="66"/>
      <c r="L67" s="66"/>
      <c r="M67" s="68"/>
      <c r="N67" s="66"/>
      <c r="O67" s="66"/>
      <c r="P67" s="66"/>
      <c r="Q67" s="67"/>
      <c r="R67" s="67"/>
      <c r="S67" s="45"/>
    </row>
    <row r="68" spans="1:22" s="43" customFormat="1" ht="15.5" customHeight="1">
      <c r="A68" s="62" t="s">
        <v>34</v>
      </c>
      <c r="B68" s="62" t="s">
        <v>45</v>
      </c>
      <c r="C68" s="92"/>
      <c r="D68" s="45"/>
      <c r="E68" s="45"/>
      <c r="F68" s="45"/>
      <c r="G68" s="69"/>
      <c r="H68" s="45"/>
      <c r="I68" s="70"/>
      <c r="J68" s="69"/>
      <c r="K68" s="45"/>
      <c r="L68" s="70"/>
      <c r="M68" s="71"/>
      <c r="N68" s="45"/>
      <c r="O68" s="70"/>
      <c r="P68" s="71"/>
      <c r="Q68" s="67"/>
      <c r="R68" s="69"/>
      <c r="S68" s="45"/>
    </row>
    <row r="69" spans="1:22" s="43" customFormat="1" ht="15.5" customHeight="1">
      <c r="A69" s="62" t="s">
        <v>35</v>
      </c>
      <c r="B69" s="62" t="s">
        <v>36</v>
      </c>
      <c r="C69" s="92"/>
      <c r="D69" s="41"/>
      <c r="E69" s="41"/>
      <c r="F69" s="41"/>
      <c r="G69" s="63"/>
      <c r="H69" s="41"/>
      <c r="I69" s="64"/>
      <c r="J69" s="63"/>
      <c r="K69" s="41"/>
      <c r="L69" s="64"/>
      <c r="M69" s="65"/>
      <c r="N69" s="41"/>
      <c r="O69" s="64"/>
      <c r="P69" s="65"/>
      <c r="Q69" s="128"/>
      <c r="R69" s="63"/>
      <c r="S69" s="41"/>
    </row>
    <row r="70" spans="1:22" s="43" customFormat="1" ht="15.5" customHeight="1">
      <c r="A70" s="62" t="s">
        <v>37</v>
      </c>
      <c r="B70" s="62" t="s">
        <v>39</v>
      </c>
      <c r="C70" s="93"/>
      <c r="D70" s="66"/>
      <c r="E70" s="66"/>
      <c r="F70" s="66"/>
      <c r="G70" s="67"/>
      <c r="H70" s="66"/>
      <c r="I70" s="72"/>
      <c r="J70" s="67"/>
      <c r="K70" s="66"/>
      <c r="L70" s="72"/>
      <c r="M70" s="66"/>
      <c r="N70" s="66"/>
      <c r="O70" s="66"/>
      <c r="P70" s="66"/>
      <c r="Q70" s="67"/>
      <c r="R70" s="67"/>
      <c r="S70" s="45"/>
    </row>
    <row r="71" spans="1:22" s="43" customFormat="1" ht="18" customHeight="1">
      <c r="A71" s="26"/>
      <c r="B71" s="26"/>
      <c r="C71" s="84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7"/>
      <c r="R71" s="26"/>
      <c r="S71" s="26"/>
    </row>
    <row r="72" spans="1:22" s="43" customFormat="1" ht="18" customHeight="1">
      <c r="A72" s="40"/>
      <c r="B72" s="40"/>
      <c r="C72" s="94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82"/>
      <c r="R72" s="40"/>
      <c r="S72" s="40"/>
    </row>
    <row r="73" spans="1:22" ht="18" customHeight="1">
      <c r="A73" s="40"/>
      <c r="B73" s="40"/>
      <c r="C73" s="94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82"/>
      <c r="R73" s="40"/>
      <c r="S73" s="40"/>
      <c r="T73" s="40"/>
      <c r="U73" s="40"/>
    </row>
    <row r="74" spans="1:22" s="46" customFormat="1" ht="27" customHeight="1">
      <c r="A74" s="40"/>
      <c r="B74" s="40"/>
      <c r="C74" s="94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82"/>
      <c r="R74" s="40"/>
      <c r="S74" s="40"/>
      <c r="T74" s="73"/>
      <c r="U74" s="73"/>
      <c r="V74" s="73"/>
    </row>
    <row r="75" spans="1:22" s="47" customFormat="1" ht="17.5">
      <c r="A75" s="40"/>
      <c r="B75" s="40"/>
      <c r="C75" s="94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82"/>
      <c r="R75" s="40"/>
      <c r="S75" s="40"/>
      <c r="T75" s="48"/>
      <c r="U75" s="48"/>
      <c r="V75" s="48"/>
    </row>
    <row r="76" spans="1:22" s="48" customFormat="1" ht="17.5">
      <c r="A76" s="40"/>
      <c r="B76" s="40"/>
      <c r="C76" s="94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82"/>
      <c r="R76" s="40"/>
      <c r="S76" s="40"/>
    </row>
    <row r="77" spans="1:22" s="48" customFormat="1" ht="29.25" customHeight="1">
      <c r="A77" s="40"/>
      <c r="B77" s="40"/>
      <c r="C77" s="94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82"/>
      <c r="R77" s="40"/>
      <c r="S77" s="40"/>
    </row>
    <row r="78" spans="1:22" s="48" customFormat="1" ht="17.5">
      <c r="A78" s="40"/>
      <c r="B78" s="40"/>
      <c r="C78" s="94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82"/>
      <c r="R78" s="40"/>
      <c r="S78" s="40"/>
    </row>
    <row r="79" spans="1:22" s="40" customFormat="1">
      <c r="C79" s="94"/>
      <c r="Q79" s="82"/>
    </row>
    <row r="80" spans="1:22" s="40" customFormat="1" ht="22.5" customHeight="1">
      <c r="C80" s="94"/>
      <c r="Q80" s="82"/>
    </row>
    <row r="81" spans="1:19" s="40" customFormat="1">
      <c r="C81" s="94"/>
      <c r="Q81" s="82"/>
    </row>
    <row r="82" spans="1:19" ht="18">
      <c r="A82" s="74"/>
      <c r="B82" s="75"/>
      <c r="C82" s="95"/>
      <c r="D82" s="74"/>
      <c r="E82" s="48"/>
      <c r="F82" s="76"/>
      <c r="G82" s="48"/>
      <c r="H82" s="48"/>
      <c r="I82" s="76"/>
      <c r="J82" s="48"/>
      <c r="K82" s="48"/>
      <c r="L82" s="48"/>
      <c r="M82" s="48"/>
      <c r="N82" s="48"/>
      <c r="O82" s="48"/>
      <c r="P82" s="76"/>
      <c r="Q82" s="129"/>
      <c r="R82" s="48"/>
      <c r="S82" s="40"/>
    </row>
    <row r="83" spans="1:19" ht="18">
      <c r="A83" s="75"/>
      <c r="B83" s="77"/>
      <c r="C83" s="96"/>
      <c r="D83" s="79"/>
      <c r="E83" s="79"/>
      <c r="F83" s="40"/>
      <c r="G83" s="80"/>
      <c r="H83" s="40"/>
      <c r="I83" s="40"/>
      <c r="J83" s="80"/>
      <c r="K83" s="48"/>
      <c r="L83" s="48"/>
      <c r="M83" s="48"/>
      <c r="N83" s="48"/>
      <c r="O83" s="48"/>
      <c r="P83" s="48"/>
      <c r="Q83" s="130"/>
      <c r="R83" s="76"/>
      <c r="S83" s="48"/>
    </row>
    <row r="84" spans="1:19" ht="18">
      <c r="A84" s="78"/>
      <c r="B84" s="40"/>
      <c r="C84" s="94"/>
      <c r="D84" s="40"/>
      <c r="E84" s="40"/>
      <c r="F84" s="40"/>
      <c r="G84" s="80"/>
      <c r="H84" s="40"/>
      <c r="I84" s="40"/>
      <c r="J84" s="80"/>
      <c r="K84" s="48"/>
      <c r="L84" s="48"/>
      <c r="M84" s="48"/>
      <c r="N84" s="48"/>
      <c r="O84" s="48"/>
      <c r="P84" s="48"/>
      <c r="Q84" s="130"/>
      <c r="R84" s="76"/>
      <c r="S84" s="48"/>
    </row>
    <row r="85" spans="1:19" ht="18">
      <c r="A85" s="81"/>
      <c r="B85" s="82"/>
      <c r="C85" s="94"/>
      <c r="D85" s="40"/>
      <c r="E85" s="40"/>
      <c r="F85" s="40"/>
      <c r="G85" s="80"/>
      <c r="H85" s="40"/>
      <c r="I85" s="40"/>
      <c r="J85" s="80"/>
      <c r="K85" s="48"/>
      <c r="L85" s="48"/>
      <c r="M85" s="48"/>
      <c r="N85" s="48"/>
      <c r="O85" s="48"/>
      <c r="P85" s="48"/>
      <c r="Q85" s="130"/>
      <c r="R85" s="76"/>
      <c r="S85" s="48"/>
    </row>
    <row r="86" spans="1:19">
      <c r="A86" s="81"/>
      <c r="B86" s="83"/>
      <c r="C86" s="94"/>
      <c r="D86" s="40"/>
      <c r="E86" s="40"/>
      <c r="F86" s="40"/>
      <c r="G86" s="80"/>
      <c r="H86" s="40"/>
      <c r="I86" s="40"/>
      <c r="J86" s="80"/>
      <c r="K86" s="40"/>
      <c r="L86" s="40"/>
      <c r="M86" s="40"/>
      <c r="N86" s="40"/>
      <c r="O86" s="40"/>
      <c r="P86" s="40"/>
      <c r="Q86" s="131"/>
      <c r="R86" s="80"/>
      <c r="S86" s="40"/>
    </row>
    <row r="87" spans="1:19">
      <c r="A87" s="81"/>
      <c r="B87" s="83"/>
      <c r="C87" s="94"/>
      <c r="D87" s="40"/>
      <c r="E87" s="40"/>
      <c r="F87" s="40"/>
      <c r="G87" s="80"/>
      <c r="H87" s="40"/>
      <c r="I87" s="40"/>
      <c r="J87" s="80"/>
      <c r="K87" s="40"/>
      <c r="L87" s="40"/>
      <c r="M87" s="40"/>
      <c r="N87" s="40"/>
      <c r="O87" s="40"/>
      <c r="P87" s="40"/>
      <c r="Q87" s="131"/>
      <c r="R87" s="80"/>
      <c r="S87" s="40"/>
    </row>
    <row r="88" spans="1:19">
      <c r="A88" s="81"/>
      <c r="B88" s="40"/>
      <c r="C88" s="94"/>
      <c r="D88" s="40"/>
      <c r="E88" s="40"/>
      <c r="F88" s="40"/>
      <c r="G88" s="80"/>
      <c r="H88" s="40"/>
      <c r="I88" s="40"/>
      <c r="J88" s="80"/>
      <c r="K88" s="40"/>
      <c r="L88" s="40"/>
      <c r="M88" s="40"/>
      <c r="N88" s="40"/>
      <c r="O88" s="40"/>
      <c r="P88" s="40"/>
      <c r="Q88" s="131"/>
      <c r="R88" s="80"/>
      <c r="S88" s="40"/>
    </row>
    <row r="89" spans="1:19">
      <c r="A89" s="81"/>
    </row>
  </sheetData>
  <mergeCells count="20">
    <mergeCell ref="R7:R8"/>
    <mergeCell ref="Q7:Q8"/>
    <mergeCell ref="K7:M7"/>
    <mergeCell ref="H7:J7"/>
    <mergeCell ref="A1:S1"/>
    <mergeCell ref="A3:D3"/>
    <mergeCell ref="A2:C2"/>
    <mergeCell ref="S6:S8"/>
    <mergeCell ref="C6:D6"/>
    <mergeCell ref="A6:A8"/>
    <mergeCell ref="A4:D4"/>
    <mergeCell ref="N7:P7"/>
    <mergeCell ref="Q6:R6"/>
    <mergeCell ref="B59:D59"/>
    <mergeCell ref="B60:D60"/>
    <mergeCell ref="B61:D61"/>
    <mergeCell ref="D7:D8"/>
    <mergeCell ref="E7:G7"/>
    <mergeCell ref="B6:B8"/>
    <mergeCell ref="E6:P6"/>
  </mergeCells>
  <printOptions horizontalCentered="1"/>
  <pageMargins left="0.34" right="0.19" top="0.44" bottom="0.39" header="0.22" footer="0.31496062992126"/>
  <pageSetup paperSize="9" scale="41" orientation="landscape" verticalDpi="300" r:id="rId1"/>
  <headerFooter alignWithMargins="0">
    <oddFooter>Page &amp;P of &amp;N</oddFooter>
  </headerFooter>
  <rowBreaks count="1" manualBreakCount="1">
    <brk id="7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opLeftCell="D1" zoomScaleNormal="100" workbookViewId="0">
      <selection activeCell="J10" sqref="J10"/>
    </sheetView>
  </sheetViews>
  <sheetFormatPr defaultColWidth="9.09765625" defaultRowHeight="14.5"/>
  <cols>
    <col min="1" max="1" width="10.3984375" style="81" customWidth="1"/>
    <col min="2" max="2" width="37.59765625" style="40" customWidth="1"/>
    <col min="3" max="3" width="11.69921875" style="131" customWidth="1"/>
    <col min="4" max="4" width="10.296875" style="80" customWidth="1"/>
    <col min="5" max="5" width="9.09765625" style="40"/>
    <col min="6" max="6" width="9.3984375" style="196" customWidth="1"/>
    <col min="7" max="7" width="42.8984375" style="40" customWidth="1"/>
    <col min="8" max="8" width="14.8984375" style="81" customWidth="1"/>
    <col min="9" max="9" width="9.09765625" style="81"/>
    <col min="10" max="10" width="20.69921875" style="40" customWidth="1"/>
    <col min="11" max="11" width="16" style="40" customWidth="1"/>
    <col min="12" max="16384" width="9.09765625" style="40"/>
  </cols>
  <sheetData>
    <row r="1" spans="1:12" ht="29.25" customHeight="1">
      <c r="A1" s="247" t="s">
        <v>40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ht="26.25" customHeight="1">
      <c r="A2" s="248" t="s">
        <v>46</v>
      </c>
      <c r="B2" s="248"/>
      <c r="C2" s="169"/>
      <c r="D2" s="170"/>
    </row>
    <row r="3" spans="1:12" ht="15" customHeight="1">
      <c r="A3" s="249" t="s">
        <v>0</v>
      </c>
      <c r="B3" s="249"/>
      <c r="C3" s="169"/>
      <c r="D3" s="170"/>
      <c r="H3" s="173" t="s">
        <v>93</v>
      </c>
      <c r="I3" s="173" t="s">
        <v>91</v>
      </c>
      <c r="J3" s="172" t="s">
        <v>92</v>
      </c>
      <c r="K3" s="172"/>
    </row>
    <row r="4" spans="1:12" ht="15" customHeight="1">
      <c r="A4" s="249" t="s">
        <v>47</v>
      </c>
      <c r="B4" s="249"/>
      <c r="D4" s="170"/>
      <c r="H4" s="173" t="s">
        <v>94</v>
      </c>
      <c r="I4" s="81">
        <v>0.08</v>
      </c>
      <c r="J4" s="172" t="s">
        <v>92</v>
      </c>
      <c r="K4" s="172"/>
    </row>
    <row r="5" spans="1:12" ht="15" customHeight="1" thickBot="1"/>
    <row r="6" spans="1:12" s="192" customFormat="1" ht="28.5" customHeight="1" thickTop="1">
      <c r="A6" s="250" t="s">
        <v>1</v>
      </c>
      <c r="B6" s="252" t="s">
        <v>2</v>
      </c>
      <c r="C6" s="252" t="s">
        <v>5</v>
      </c>
      <c r="D6" s="260" t="s">
        <v>73</v>
      </c>
      <c r="E6" s="262" t="s">
        <v>97</v>
      </c>
      <c r="F6" s="256" t="s">
        <v>78</v>
      </c>
      <c r="G6" s="254" t="s">
        <v>74</v>
      </c>
      <c r="H6" s="256" t="s">
        <v>100</v>
      </c>
      <c r="I6" s="254" t="s">
        <v>75</v>
      </c>
      <c r="J6" s="256" t="s">
        <v>95</v>
      </c>
      <c r="K6" s="264" t="s">
        <v>101</v>
      </c>
      <c r="L6" s="258" t="s">
        <v>76</v>
      </c>
    </row>
    <row r="7" spans="1:12" s="193" customFormat="1" ht="40.5" customHeight="1">
      <c r="A7" s="251"/>
      <c r="B7" s="253"/>
      <c r="C7" s="253"/>
      <c r="D7" s="261"/>
      <c r="E7" s="263"/>
      <c r="F7" s="257"/>
      <c r="G7" s="255"/>
      <c r="H7" s="257"/>
      <c r="I7" s="255"/>
      <c r="J7" s="257"/>
      <c r="K7" s="265"/>
      <c r="L7" s="259"/>
    </row>
    <row r="8" spans="1:12" s="193" customFormat="1" ht="27.75" customHeight="1">
      <c r="A8" s="209" t="s">
        <v>85</v>
      </c>
      <c r="B8" s="210" t="s">
        <v>82</v>
      </c>
      <c r="C8" s="210">
        <v>800</v>
      </c>
      <c r="D8" s="178">
        <f>C8/0.38/1.73</f>
        <v>1216.915120170368</v>
      </c>
      <c r="E8" s="214">
        <v>1250</v>
      </c>
      <c r="F8" s="211" t="s">
        <v>103</v>
      </c>
      <c r="G8" s="213" t="s">
        <v>88</v>
      </c>
      <c r="H8" s="195">
        <f>419*3</f>
        <v>1257</v>
      </c>
      <c r="I8" s="195">
        <v>45</v>
      </c>
      <c r="J8" s="195">
        <f>1.73*D8*(22.5*0.8/240+0.08*SIN(ACOS(0.8)))*I8/1000/3</f>
        <v>3.8842105263157887</v>
      </c>
      <c r="K8" s="216">
        <f>J8/380*100</f>
        <v>1.0221606648199444</v>
      </c>
      <c r="L8" s="212" t="s">
        <v>102</v>
      </c>
    </row>
    <row r="9" spans="1:12" s="193" customFormat="1" ht="25.5" customHeight="1">
      <c r="A9" s="209" t="s">
        <v>86</v>
      </c>
      <c r="B9" s="210" t="s">
        <v>83</v>
      </c>
      <c r="C9" s="210">
        <v>800</v>
      </c>
      <c r="D9" s="178">
        <f t="shared" ref="D9:D31" si="0">C9/0.38/1.73</f>
        <v>1216.915120170368</v>
      </c>
      <c r="E9" s="214">
        <v>1250</v>
      </c>
      <c r="F9" s="211" t="s">
        <v>79</v>
      </c>
      <c r="G9" s="213" t="s">
        <v>88</v>
      </c>
      <c r="H9" s="195">
        <f>538*3</f>
        <v>1614</v>
      </c>
      <c r="I9" s="195">
        <v>32</v>
      </c>
      <c r="J9" s="195">
        <f>1.73*D9*(22.5*0.8/240+0.08*SIN(ACOS(0.8)))*I9/1000/3</f>
        <v>2.7621052631578942</v>
      </c>
      <c r="K9" s="216">
        <f t="shared" ref="K9:K31" si="1">J9/380*100</f>
        <v>0.72686980609418272</v>
      </c>
      <c r="L9" s="212" t="s">
        <v>102</v>
      </c>
    </row>
    <row r="10" spans="1:12" s="193" customFormat="1" ht="25.5" customHeight="1">
      <c r="A10" s="209" t="s">
        <v>87</v>
      </c>
      <c r="B10" s="210" t="s">
        <v>84</v>
      </c>
      <c r="C10" s="210"/>
      <c r="D10" s="178">
        <f t="shared" si="0"/>
        <v>0</v>
      </c>
      <c r="E10" s="214"/>
      <c r="F10" s="211"/>
      <c r="G10" s="195"/>
      <c r="H10" s="195"/>
      <c r="I10" s="195"/>
      <c r="J10" s="195"/>
      <c r="K10" s="216"/>
      <c r="L10" s="212"/>
    </row>
    <row r="11" spans="1:12" ht="14.25" customHeight="1">
      <c r="A11" s="175">
        <v>1</v>
      </c>
      <c r="B11" s="176" t="s">
        <v>48</v>
      </c>
      <c r="C11" s="177">
        <v>8.76</v>
      </c>
      <c r="D11" s="178">
        <f t="shared" si="0"/>
        <v>13.32522056586553</v>
      </c>
      <c r="E11" s="174">
        <v>32</v>
      </c>
      <c r="F11" s="208" t="s">
        <v>79</v>
      </c>
      <c r="G11" s="194" t="s">
        <v>77</v>
      </c>
      <c r="H11" s="200">
        <v>54</v>
      </c>
      <c r="I11" s="195">
        <v>5</v>
      </c>
      <c r="J11" s="195">
        <f>1.73*D11*(22.5*0.8/6+0.08*SIN(ACOS(0.8)))*I11/1000</f>
        <v>0.35132210526315788</v>
      </c>
      <c r="K11" s="216">
        <f t="shared" si="1"/>
        <v>9.2453185595567866E-2</v>
      </c>
      <c r="L11" s="212" t="s">
        <v>102</v>
      </c>
    </row>
    <row r="12" spans="1:12" s="82" customFormat="1" ht="15.5" customHeight="1">
      <c r="A12" s="175">
        <v>2</v>
      </c>
      <c r="B12" s="176" t="s">
        <v>41</v>
      </c>
      <c r="C12" s="177">
        <v>21.119</v>
      </c>
      <c r="D12" s="178">
        <f t="shared" si="0"/>
        <v>32.125038028597501</v>
      </c>
      <c r="E12" s="179">
        <v>40</v>
      </c>
      <c r="F12" s="208" t="s">
        <v>79</v>
      </c>
      <c r="G12" s="194" t="s">
        <v>80</v>
      </c>
      <c r="H12" s="201">
        <v>75</v>
      </c>
      <c r="I12" s="195">
        <v>5</v>
      </c>
      <c r="J12" s="195">
        <f>1.73*D12*(22.5*0.8/10+0.08*SIN(ACOS(0.8)))*I12/1000</f>
        <v>0.51352515789473685</v>
      </c>
      <c r="K12" s="216">
        <f t="shared" si="1"/>
        <v>0.13513819944598338</v>
      </c>
      <c r="L12" s="212" t="s">
        <v>102</v>
      </c>
    </row>
    <row r="13" spans="1:12" s="82" customFormat="1" ht="15.5" customHeight="1">
      <c r="A13" s="175">
        <v>3</v>
      </c>
      <c r="B13" s="176" t="s">
        <v>49</v>
      </c>
      <c r="C13" s="177">
        <v>14.014000000000001</v>
      </c>
      <c r="D13" s="178">
        <f t="shared" si="0"/>
        <v>21.317310617584422</v>
      </c>
      <c r="E13" s="179">
        <v>32</v>
      </c>
      <c r="F13" s="208" t="s">
        <v>79</v>
      </c>
      <c r="G13" s="194" t="s">
        <v>77</v>
      </c>
      <c r="H13" s="200">
        <v>54</v>
      </c>
      <c r="I13" s="195">
        <v>5</v>
      </c>
      <c r="J13" s="195">
        <f>1.73*D13*(22.5*0.8/6+0.08*SIN(ACOS(0.8)))*I13/1000</f>
        <v>0.56203515789473679</v>
      </c>
      <c r="K13" s="216">
        <f t="shared" si="1"/>
        <v>0.14790398891966758</v>
      </c>
      <c r="L13" s="212" t="s">
        <v>102</v>
      </c>
    </row>
    <row r="14" spans="1:12" s="82" customFormat="1" ht="15.5" customHeight="1">
      <c r="A14" s="175">
        <v>4</v>
      </c>
      <c r="B14" s="176" t="s">
        <v>104</v>
      </c>
      <c r="C14" s="177">
        <v>89.305999999999997</v>
      </c>
      <c r="D14" s="178">
        <f t="shared" si="0"/>
        <v>135.84727715241863</v>
      </c>
      <c r="E14" s="174">
        <v>150</v>
      </c>
      <c r="F14" s="208" t="s">
        <v>79</v>
      </c>
      <c r="G14" s="194" t="s">
        <v>81</v>
      </c>
      <c r="H14" s="201">
        <v>192</v>
      </c>
      <c r="I14" s="195">
        <v>5</v>
      </c>
      <c r="J14" s="195">
        <f>1.73*D14*(22.5*0.8/50+0.08*SIN(ACOS(0.8)))*I14/1000</f>
        <v>0.47943221052631579</v>
      </c>
      <c r="K14" s="216">
        <f t="shared" si="1"/>
        <v>0.12616637119113575</v>
      </c>
      <c r="L14" s="212" t="s">
        <v>102</v>
      </c>
    </row>
    <row r="15" spans="1:12" s="82" customFormat="1" ht="15.5" customHeight="1">
      <c r="A15" s="175">
        <v>5</v>
      </c>
      <c r="B15" s="176" t="s">
        <v>105</v>
      </c>
      <c r="C15" s="177">
        <v>89.667000000000002</v>
      </c>
      <c r="D15" s="178">
        <f t="shared" si="0"/>
        <v>136.39641010039551</v>
      </c>
      <c r="E15" s="174">
        <v>150</v>
      </c>
      <c r="F15" s="208" t="s">
        <v>79</v>
      </c>
      <c r="G15" s="194" t="s">
        <v>81</v>
      </c>
      <c r="H15" s="201">
        <v>192</v>
      </c>
      <c r="I15" s="195">
        <v>5</v>
      </c>
      <c r="J15" s="195">
        <f>1.73*D15*(22.5*0.8/50+0.08*SIN(ACOS(0.8)))*I15/1000</f>
        <v>0.48137021052631579</v>
      </c>
      <c r="K15" s="216">
        <f t="shared" si="1"/>
        <v>0.12667637119113573</v>
      </c>
      <c r="L15" s="212" t="s">
        <v>102</v>
      </c>
    </row>
    <row r="16" spans="1:12" s="82" customFormat="1" ht="15.5" customHeight="1">
      <c r="A16" s="175">
        <v>6</v>
      </c>
      <c r="B16" s="176" t="s">
        <v>106</v>
      </c>
      <c r="C16" s="177">
        <v>19.795999999999999</v>
      </c>
      <c r="D16" s="178">
        <f t="shared" si="0"/>
        <v>30.112564648615759</v>
      </c>
      <c r="E16" s="174">
        <v>40</v>
      </c>
      <c r="F16" s="208" t="s">
        <v>79</v>
      </c>
      <c r="G16" s="194" t="s">
        <v>80</v>
      </c>
      <c r="H16" s="201">
        <v>75</v>
      </c>
      <c r="I16" s="195">
        <v>5</v>
      </c>
      <c r="J16" s="195">
        <f>1.73*D16*(22.5*0.8/10+0.08*SIN(ACOS(0.8)))*I16/1000</f>
        <v>0.4813553684210527</v>
      </c>
      <c r="K16" s="216">
        <f t="shared" si="1"/>
        <v>0.12667246537396123</v>
      </c>
      <c r="L16" s="212" t="s">
        <v>102</v>
      </c>
    </row>
    <row r="17" spans="1:12" s="82" customFormat="1" ht="15.5" customHeight="1">
      <c r="A17" s="175">
        <v>7</v>
      </c>
      <c r="B17" s="176" t="s">
        <v>57</v>
      </c>
      <c r="C17" s="177">
        <v>21.119</v>
      </c>
      <c r="D17" s="178">
        <f t="shared" si="0"/>
        <v>32.125038028597501</v>
      </c>
      <c r="E17" s="174">
        <v>40</v>
      </c>
      <c r="F17" s="208" t="s">
        <v>79</v>
      </c>
      <c r="G17" s="194" t="s">
        <v>80</v>
      </c>
      <c r="H17" s="201">
        <v>75</v>
      </c>
      <c r="I17" s="195">
        <v>5</v>
      </c>
      <c r="J17" s="195">
        <f>1.73*D17*(22.5*0.8/10+0.08*SIN(ACOS(0.8)))*I17/1000</f>
        <v>0.51352515789473685</v>
      </c>
      <c r="K17" s="216">
        <f t="shared" si="1"/>
        <v>0.13513819944598338</v>
      </c>
      <c r="L17" s="212" t="s">
        <v>102</v>
      </c>
    </row>
    <row r="18" spans="1:12" s="82" customFormat="1" ht="15.75" customHeight="1">
      <c r="A18" s="175">
        <v>8</v>
      </c>
      <c r="B18" s="180" t="s">
        <v>58</v>
      </c>
      <c r="C18" s="177">
        <v>16.047000000000001</v>
      </c>
      <c r="D18" s="178">
        <f t="shared" si="0"/>
        <v>24.409796166717371</v>
      </c>
      <c r="E18" s="174">
        <v>40</v>
      </c>
      <c r="F18" s="208" t="s">
        <v>79</v>
      </c>
      <c r="G18" s="194" t="s">
        <v>80</v>
      </c>
      <c r="H18" s="201">
        <v>75</v>
      </c>
      <c r="I18" s="195">
        <v>5</v>
      </c>
      <c r="J18" s="195">
        <f>1.73*D18*(22.5*0.8/10+0.08*SIN(ACOS(0.8)))*I18/1000</f>
        <v>0.39019547368421059</v>
      </c>
      <c r="K18" s="216">
        <f t="shared" si="1"/>
        <v>0.10268301939058172</v>
      </c>
      <c r="L18" s="212" t="s">
        <v>102</v>
      </c>
    </row>
    <row r="19" spans="1:12" s="82" customFormat="1" ht="15.5" customHeight="1">
      <c r="A19" s="175">
        <v>9</v>
      </c>
      <c r="B19" s="176" t="s">
        <v>60</v>
      </c>
      <c r="C19" s="177">
        <v>21.119</v>
      </c>
      <c r="D19" s="178">
        <f t="shared" si="0"/>
        <v>32.125038028597501</v>
      </c>
      <c r="E19" s="174">
        <v>40</v>
      </c>
      <c r="F19" s="208" t="s">
        <v>79</v>
      </c>
      <c r="G19" s="194" t="s">
        <v>80</v>
      </c>
      <c r="H19" s="201">
        <v>75</v>
      </c>
      <c r="I19" s="195">
        <v>5</v>
      </c>
      <c r="J19" s="195">
        <f>1.73*D19*(22.5*0.8/10+0.08*SIN(ACOS(0.8)))*I19/1000</f>
        <v>0.51352515789473685</v>
      </c>
      <c r="K19" s="216">
        <f t="shared" si="1"/>
        <v>0.13513819944598338</v>
      </c>
      <c r="L19" s="212" t="s">
        <v>102</v>
      </c>
    </row>
    <row r="20" spans="1:12" s="82" customFormat="1" ht="15.75" customHeight="1">
      <c r="A20" s="175">
        <v>10</v>
      </c>
      <c r="B20" s="180" t="s">
        <v>70</v>
      </c>
      <c r="C20" s="177">
        <v>32.838000000000001</v>
      </c>
      <c r="D20" s="178">
        <f t="shared" si="0"/>
        <v>49.951323395193185</v>
      </c>
      <c r="E20" s="179">
        <v>63</v>
      </c>
      <c r="F20" s="208" t="s">
        <v>79</v>
      </c>
      <c r="G20" s="194" t="s">
        <v>89</v>
      </c>
      <c r="H20" s="201">
        <v>100</v>
      </c>
      <c r="I20" s="195">
        <v>5</v>
      </c>
      <c r="J20" s="195">
        <f>1.73*D20*(22.5*0.8/16+0.08*SIN(ACOS(0.8)))*I20/1000</f>
        <v>0.50682860526315787</v>
      </c>
      <c r="K20" s="216">
        <f t="shared" si="1"/>
        <v>0.13337594875346262</v>
      </c>
      <c r="L20" s="212" t="s">
        <v>102</v>
      </c>
    </row>
    <row r="21" spans="1:12" s="82" customFormat="1" ht="15.5" customHeight="1">
      <c r="A21" s="175">
        <v>11</v>
      </c>
      <c r="B21" s="176" t="s">
        <v>20</v>
      </c>
      <c r="C21" s="177">
        <v>2.5299999999999998</v>
      </c>
      <c r="D21" s="178">
        <f t="shared" si="0"/>
        <v>3.8484940675387889</v>
      </c>
      <c r="E21" s="179">
        <v>32</v>
      </c>
      <c r="F21" s="208" t="s">
        <v>79</v>
      </c>
      <c r="G21" s="194" t="s">
        <v>98</v>
      </c>
      <c r="H21" s="200">
        <v>42</v>
      </c>
      <c r="I21" s="195">
        <v>5</v>
      </c>
      <c r="J21" s="195">
        <f>1.73*D21*(22.5*0.8/6+0.08*SIN(ACOS(0.8)))*I21/1000</f>
        <v>0.10146631578947367</v>
      </c>
      <c r="K21" s="216">
        <f t="shared" si="1"/>
        <v>2.6701662049861491E-2</v>
      </c>
      <c r="L21" s="212" t="s">
        <v>102</v>
      </c>
    </row>
    <row r="22" spans="1:12" s="171" customFormat="1" ht="15.5" customHeight="1">
      <c r="A22" s="175">
        <v>12</v>
      </c>
      <c r="B22" s="181" t="s">
        <v>53</v>
      </c>
      <c r="C22" s="182">
        <v>537.98700000000008</v>
      </c>
      <c r="D22" s="178">
        <f t="shared" si="0"/>
        <v>818.35564344386989</v>
      </c>
      <c r="E22" s="183">
        <v>720</v>
      </c>
      <c r="F22" s="208" t="s">
        <v>79</v>
      </c>
      <c r="G22" s="194" t="s">
        <v>90</v>
      </c>
      <c r="H22" s="202">
        <f>2*395</f>
        <v>790</v>
      </c>
      <c r="I22" s="195">
        <v>5</v>
      </c>
      <c r="J22" s="195">
        <f>1.73*D22*(22.5*0.8/150+0.08*SIN(ACOS(0.8)))*I22/1000/2</f>
        <v>0.59461721052631578</v>
      </c>
      <c r="K22" s="216">
        <f t="shared" si="1"/>
        <v>0.15647821329639888</v>
      </c>
      <c r="L22" s="212" t="s">
        <v>102</v>
      </c>
    </row>
    <row r="23" spans="1:12" s="151" customFormat="1" ht="15.5" customHeight="1">
      <c r="A23" s="175">
        <v>13</v>
      </c>
      <c r="B23" s="181" t="s">
        <v>71</v>
      </c>
      <c r="C23" s="182">
        <v>14.26</v>
      </c>
      <c r="D23" s="178">
        <f t="shared" si="0"/>
        <v>21.691512017036814</v>
      </c>
      <c r="E23" s="184">
        <v>32</v>
      </c>
      <c r="F23" s="208" t="s">
        <v>79</v>
      </c>
      <c r="G23" s="194" t="s">
        <v>98</v>
      </c>
      <c r="H23" s="200">
        <v>42</v>
      </c>
      <c r="I23" s="203">
        <v>5</v>
      </c>
      <c r="J23" s="195">
        <f>1.73*D23*(22.5*0.8/4+0.08*SIN(ACOS(0.8)))*I23/1000/2</f>
        <v>0.42667421052631582</v>
      </c>
      <c r="K23" s="216">
        <f t="shared" si="1"/>
        <v>0.11228268698060943</v>
      </c>
      <c r="L23" s="212" t="s">
        <v>102</v>
      </c>
    </row>
    <row r="24" spans="1:12" s="151" customFormat="1" ht="15.5" customHeight="1">
      <c r="A24" s="175"/>
      <c r="B24" s="181" t="s">
        <v>21</v>
      </c>
      <c r="C24" s="177">
        <v>66</v>
      </c>
      <c r="D24" s="178">
        <f t="shared" si="0"/>
        <v>100.39549741405537</v>
      </c>
      <c r="E24" s="184"/>
      <c r="F24" s="197"/>
      <c r="G24" s="184"/>
      <c r="H24" s="203"/>
      <c r="I24" s="203"/>
      <c r="J24" s="184"/>
      <c r="K24" s="216"/>
      <c r="L24" s="212" t="s">
        <v>102</v>
      </c>
    </row>
    <row r="25" spans="1:12" s="151" customFormat="1" ht="15.5" customHeight="1">
      <c r="A25" s="175">
        <v>1</v>
      </c>
      <c r="B25" s="185" t="s">
        <v>22</v>
      </c>
      <c r="C25" s="13">
        <v>36</v>
      </c>
      <c r="D25" s="178">
        <f t="shared" si="0"/>
        <v>54.761180407666565</v>
      </c>
      <c r="E25" s="184"/>
      <c r="F25" s="197" t="s">
        <v>79</v>
      </c>
      <c r="G25" s="194" t="s">
        <v>96</v>
      </c>
      <c r="H25" s="202">
        <f>127</f>
        <v>127</v>
      </c>
      <c r="I25" s="203">
        <v>68</v>
      </c>
      <c r="J25" s="195">
        <f>1.73*D25*(22.5*0.8/25+0.08*SIN(ACOS(0.8)))*I25/1000</f>
        <v>4.9475368421052623</v>
      </c>
      <c r="K25" s="216">
        <f t="shared" si="1"/>
        <v>1.3019833795013849</v>
      </c>
      <c r="L25" s="212" t="s">
        <v>102</v>
      </c>
    </row>
    <row r="26" spans="1:12" s="151" customFormat="1" ht="18" customHeight="1">
      <c r="A26" s="175">
        <v>2</v>
      </c>
      <c r="B26" s="185" t="s">
        <v>23</v>
      </c>
      <c r="C26" s="13">
        <v>5</v>
      </c>
      <c r="D26" s="178">
        <f t="shared" si="0"/>
        <v>7.6057195010648</v>
      </c>
      <c r="E26" s="184">
        <v>32</v>
      </c>
      <c r="F26" s="197" t="s">
        <v>79</v>
      </c>
      <c r="G26" s="194" t="s">
        <v>77</v>
      </c>
      <c r="H26" s="200">
        <v>54</v>
      </c>
      <c r="I26" s="203">
        <v>12</v>
      </c>
      <c r="J26" s="195">
        <f>1.73*D26*(22.5*0.8/6+0.08*SIN(ACOS(0.8)))*I26/1000</f>
        <v>0.48126315789473678</v>
      </c>
      <c r="K26" s="216">
        <f t="shared" si="1"/>
        <v>0.12664819944598335</v>
      </c>
      <c r="L26" s="212" t="s">
        <v>102</v>
      </c>
    </row>
    <row r="27" spans="1:12" s="152" customFormat="1" ht="27" customHeight="1">
      <c r="A27" s="175">
        <v>3</v>
      </c>
      <c r="B27" s="185" t="s">
        <v>24</v>
      </c>
      <c r="C27" s="13">
        <v>5</v>
      </c>
      <c r="D27" s="178">
        <f t="shared" si="0"/>
        <v>7.6057195010648</v>
      </c>
      <c r="E27" s="186">
        <v>32</v>
      </c>
      <c r="F27" s="197" t="s">
        <v>79</v>
      </c>
      <c r="G27" s="194" t="s">
        <v>77</v>
      </c>
      <c r="H27" s="200">
        <v>54</v>
      </c>
      <c r="I27" s="204">
        <v>12</v>
      </c>
      <c r="J27" s="195">
        <f>1.73*D27*(22.5*0.8/6+0.08*SIN(ACOS(0.8)))*I27/1000</f>
        <v>0.48126315789473678</v>
      </c>
      <c r="K27" s="216">
        <f t="shared" si="1"/>
        <v>0.12664819944598335</v>
      </c>
      <c r="L27" s="212" t="s">
        <v>102</v>
      </c>
    </row>
    <row r="28" spans="1:12" s="9" customFormat="1" ht="15.5">
      <c r="A28" s="175">
        <v>4</v>
      </c>
      <c r="B28" s="185" t="s">
        <v>25</v>
      </c>
      <c r="C28" s="13">
        <v>20</v>
      </c>
      <c r="D28" s="178">
        <f t="shared" si="0"/>
        <v>30.4228780042592</v>
      </c>
      <c r="E28" s="187">
        <v>40</v>
      </c>
      <c r="F28" s="197" t="s">
        <v>79</v>
      </c>
      <c r="G28" s="194" t="s">
        <v>77</v>
      </c>
      <c r="H28" s="200">
        <v>54</v>
      </c>
      <c r="I28" s="204">
        <v>12</v>
      </c>
      <c r="J28" s="195">
        <f>1.73*D28*(22.5*0.8/6+0.08*SIN(ACOS(0.8)))*I28/1000</f>
        <v>1.9250526315789471</v>
      </c>
      <c r="K28" s="216">
        <f t="shared" si="1"/>
        <v>0.5065927977839334</v>
      </c>
      <c r="L28" s="212" t="s">
        <v>102</v>
      </c>
    </row>
    <row r="29" spans="1:12" s="9" customFormat="1" ht="15.5">
      <c r="A29" s="175">
        <v>5</v>
      </c>
      <c r="B29" s="185" t="s">
        <v>26</v>
      </c>
      <c r="C29" s="13">
        <v>56.25</v>
      </c>
      <c r="D29" s="178">
        <f t="shared" si="0"/>
        <v>85.564344386979002</v>
      </c>
      <c r="E29" s="187">
        <v>80</v>
      </c>
      <c r="F29" s="197" t="s">
        <v>79</v>
      </c>
      <c r="G29" s="194" t="s">
        <v>96</v>
      </c>
      <c r="H29" s="202">
        <f>127</f>
        <v>127</v>
      </c>
      <c r="I29" s="205">
        <v>12</v>
      </c>
      <c r="J29" s="195">
        <f>1.73*D29*(22.5*0.8/25+0.08*SIN(ACOS(0.8)))*I29/1000</f>
        <v>1.3642105263157893</v>
      </c>
      <c r="K29" s="216">
        <f t="shared" si="1"/>
        <v>0.3590027700831025</v>
      </c>
      <c r="L29" s="212" t="s">
        <v>102</v>
      </c>
    </row>
    <row r="30" spans="1:12" s="151" customFormat="1" ht="15.5" customHeight="1">
      <c r="A30" s="175">
        <v>6</v>
      </c>
      <c r="B30" s="185" t="s">
        <v>27</v>
      </c>
      <c r="C30" s="13">
        <v>10</v>
      </c>
      <c r="D30" s="178">
        <f t="shared" si="0"/>
        <v>15.2114390021296</v>
      </c>
      <c r="E30" s="184">
        <v>40</v>
      </c>
      <c r="F30" s="197" t="s">
        <v>79</v>
      </c>
      <c r="G30" s="194" t="s">
        <v>99</v>
      </c>
      <c r="H30" s="201">
        <v>75</v>
      </c>
      <c r="I30" s="215">
        <v>68</v>
      </c>
      <c r="J30" s="195">
        <f>1.73*D30*(22.5*0.8/10+0.08*SIN(ACOS(0.8)))*I30/1000</f>
        <v>3.3069473684210524</v>
      </c>
      <c r="K30" s="216">
        <f t="shared" si="1"/>
        <v>0.87024930747922435</v>
      </c>
      <c r="L30" s="212" t="s">
        <v>102</v>
      </c>
    </row>
    <row r="31" spans="1:12" s="151" customFormat="1" ht="15.5" customHeight="1" thickBot="1">
      <c r="A31" s="175">
        <v>7</v>
      </c>
      <c r="B31" s="188" t="s">
        <v>72</v>
      </c>
      <c r="C31" s="189">
        <v>8</v>
      </c>
      <c r="D31" s="178">
        <f t="shared" si="0"/>
        <v>12.169151201703682</v>
      </c>
      <c r="E31" s="190">
        <v>32</v>
      </c>
      <c r="F31" s="197" t="s">
        <v>103</v>
      </c>
      <c r="G31" s="194" t="s">
        <v>77</v>
      </c>
      <c r="H31" s="206">
        <v>54</v>
      </c>
      <c r="I31" s="206">
        <v>37</v>
      </c>
      <c r="J31" s="195">
        <f>1.73*D31*(22.5*0.8/6+0.08*SIN(ACOS(0.8)))*I31/1000</f>
        <v>2.3742315789473687</v>
      </c>
      <c r="K31" s="216">
        <f t="shared" si="1"/>
        <v>0.62479778393351804</v>
      </c>
      <c r="L31" s="212" t="s">
        <v>102</v>
      </c>
    </row>
    <row r="32" spans="1:12" ht="15" thickTop="1">
      <c r="A32" s="40"/>
      <c r="C32" s="82"/>
    </row>
    <row r="33" spans="1:9">
      <c r="A33" s="40"/>
      <c r="C33" s="82"/>
    </row>
    <row r="34" spans="1:9">
      <c r="A34" s="40"/>
      <c r="C34" s="82"/>
    </row>
    <row r="35" spans="1:9" s="73" customFormat="1">
      <c r="A35" s="40"/>
      <c r="B35" s="40"/>
      <c r="C35" s="82"/>
      <c r="D35" s="80"/>
      <c r="F35" s="198"/>
      <c r="H35" s="191"/>
      <c r="I35" s="191"/>
    </row>
    <row r="36" spans="1:9" s="48" customFormat="1" ht="17.5">
      <c r="A36" s="40"/>
      <c r="B36" s="40"/>
      <c r="C36" s="82"/>
      <c r="D36" s="80"/>
      <c r="F36" s="199"/>
      <c r="H36" s="207"/>
      <c r="I36" s="207"/>
    </row>
    <row r="37" spans="1:9" s="48" customFormat="1" ht="17.5">
      <c r="A37" s="40"/>
      <c r="B37" s="40"/>
      <c r="C37" s="82"/>
      <c r="D37" s="80"/>
      <c r="F37" s="199"/>
      <c r="H37" s="207"/>
      <c r="I37" s="207"/>
    </row>
    <row r="38" spans="1:9" s="48" customFormat="1" ht="17.5">
      <c r="A38" s="40"/>
      <c r="B38" s="40"/>
      <c r="C38" s="82"/>
      <c r="D38" s="80"/>
      <c r="F38" s="199"/>
      <c r="H38" s="207"/>
      <c r="I38" s="207"/>
    </row>
    <row r="39" spans="1:9" s="48" customFormat="1" ht="17.5">
      <c r="A39" s="40"/>
      <c r="B39" s="40"/>
      <c r="C39" s="82"/>
      <c r="D39" s="80"/>
      <c r="F39" s="199"/>
      <c r="H39" s="207"/>
      <c r="I39" s="207"/>
    </row>
    <row r="40" spans="1:9">
      <c r="A40" s="40"/>
      <c r="C40" s="82"/>
    </row>
    <row r="41" spans="1:9">
      <c r="A41" s="40"/>
      <c r="C41" s="82"/>
    </row>
    <row r="42" spans="1:9">
      <c r="A42" s="40"/>
      <c r="C42" s="82"/>
    </row>
    <row r="43" spans="1:9" ht="18">
      <c r="A43" s="74"/>
      <c r="B43" s="75"/>
      <c r="C43" s="129"/>
    </row>
    <row r="44" spans="1:9" ht="18">
      <c r="A44" s="75"/>
      <c r="B44" s="77"/>
      <c r="C44" s="130"/>
      <c r="D44" s="76"/>
    </row>
    <row r="45" spans="1:9" ht="18">
      <c r="A45" s="78"/>
      <c r="C45" s="130"/>
      <c r="D45" s="76"/>
    </row>
    <row r="46" spans="1:9" ht="18">
      <c r="B46" s="82"/>
      <c r="C46" s="130"/>
      <c r="D46" s="76"/>
    </row>
    <row r="47" spans="1:9">
      <c r="B47" s="83"/>
    </row>
    <row r="48" spans="1:9">
      <c r="B48" s="83"/>
    </row>
  </sheetData>
  <mergeCells count="16">
    <mergeCell ref="A1:L1"/>
    <mergeCell ref="A2:B2"/>
    <mergeCell ref="A3:B3"/>
    <mergeCell ref="A4:B4"/>
    <mergeCell ref="A6:A7"/>
    <mergeCell ref="B6:B7"/>
    <mergeCell ref="C6:C7"/>
    <mergeCell ref="G6:G7"/>
    <mergeCell ref="H6:H7"/>
    <mergeCell ref="I6:I7"/>
    <mergeCell ref="L6:L7"/>
    <mergeCell ref="F6:F7"/>
    <mergeCell ref="J6:J7"/>
    <mergeCell ref="D6:D7"/>
    <mergeCell ref="E6:E7"/>
    <mergeCell ref="K6:K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KHU CONG CONG</vt:lpstr>
      <vt:lpstr>Sheet1</vt:lpstr>
      <vt:lpstr>'KHU CONG CONG'!Print_Area</vt:lpstr>
      <vt:lpstr>'KHU CONG CONG'!Print_Titles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trieu</dc:creator>
  <cp:lastModifiedBy>ASUS</cp:lastModifiedBy>
  <dcterms:created xsi:type="dcterms:W3CDTF">2014-08-18T07:20:24Z</dcterms:created>
  <dcterms:modified xsi:type="dcterms:W3CDTF">2026-03-25T01:46:41Z</dcterms:modified>
</cp:coreProperties>
</file>